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dannyrye/Desktop/Dellinger/"/>
    </mc:Choice>
  </mc:AlternateContent>
  <xr:revisionPtr revIDLastSave="0" documentId="8_{E91BFB51-FB95-244D-84F1-59A653B5F8FC}" xr6:coauthVersionLast="45" xr6:coauthVersionMax="45" xr10:uidLastSave="{00000000-0000-0000-0000-000000000000}"/>
  <bookViews>
    <workbookView xWindow="7140" yWindow="12780" windowWidth="26040" windowHeight="14940" xr2:uid="{EB915F2C-7D31-3148-9BE3-BD2EE7845578}"/>
  </bookViews>
  <sheets>
    <sheet name="S2 Meteoric Diagenesis" sheetId="1" r:id="rId1"/>
  </sheets>
  <externalReferences>
    <externalReference r:id="rId2"/>
  </externalReferenc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50" i="1" l="1"/>
  <c r="C46" i="1"/>
  <c r="AC29" i="1"/>
  <c r="AC27" i="1"/>
  <c r="AG24" i="1"/>
  <c r="AH19" i="1"/>
  <c r="R19" i="1"/>
  <c r="N19" i="1"/>
  <c r="AQ18" i="1"/>
  <c r="AH18" i="1"/>
  <c r="Y18" i="1"/>
  <c r="AQ17" i="1"/>
  <c r="AH17" i="1"/>
  <c r="AH6" i="1" s="1"/>
  <c r="AF6" i="1" s="1"/>
  <c r="N17" i="1"/>
  <c r="Y16" i="1"/>
  <c r="W15" i="1"/>
  <c r="L15" i="1"/>
  <c r="BF9" i="1"/>
  <c r="AZ9" i="1"/>
  <c r="BA9" i="1" s="1"/>
  <c r="BA10" i="1" s="1"/>
  <c r="AU9" i="1"/>
  <c r="AV9" i="1" s="1"/>
  <c r="AV10" i="1" s="1"/>
  <c r="AL9" i="1"/>
  <c r="AM9" i="1" s="1"/>
  <c r="AM10" i="1" s="1"/>
  <c r="AC9" i="1"/>
  <c r="AD9" i="1" s="1"/>
  <c r="AD10" i="1" s="1"/>
  <c r="R9" i="1"/>
  <c r="S9" i="1" s="1"/>
  <c r="S10" i="1" s="1"/>
  <c r="I9" i="1"/>
  <c r="J9" i="1" s="1"/>
  <c r="J10" i="1" s="1"/>
  <c r="C8" i="1"/>
  <c r="C9" i="1" s="1"/>
  <c r="BF7" i="1"/>
  <c r="BI5" i="1" s="1"/>
  <c r="C7" i="1"/>
  <c r="BG6" i="1"/>
  <c r="BA6" i="1"/>
  <c r="AV6" i="1"/>
  <c r="AR6" i="1"/>
  <c r="AQ6" i="1" s="1"/>
  <c r="AO6" i="1" s="1"/>
  <c r="AI6" i="1"/>
  <c r="AG6" i="1"/>
  <c r="Z6" i="1"/>
  <c r="F51" i="1" s="1"/>
  <c r="S6" i="1"/>
  <c r="O6" i="1"/>
  <c r="BF5" i="1"/>
  <c r="BC5" i="1"/>
  <c r="AZ5" i="1"/>
  <c r="AU5" i="1"/>
  <c r="AR5" i="1"/>
  <c r="AP5" i="1" s="1"/>
  <c r="AQ5" i="1"/>
  <c r="AO5" i="1"/>
  <c r="AL5" i="1"/>
  <c r="AI5" i="1"/>
  <c r="AG5" i="1" s="1"/>
  <c r="AH5" i="1"/>
  <c r="AF5" i="1"/>
  <c r="Z5" i="1"/>
  <c r="Y5" i="1"/>
  <c r="E50" i="1" s="1"/>
  <c r="W5" i="1"/>
  <c r="V5" i="1"/>
  <c r="E49" i="1" s="1"/>
  <c r="U5" i="1"/>
  <c r="E48" i="1" s="1"/>
  <c r="R5" i="1"/>
  <c r="E46" i="1" s="1"/>
  <c r="N5" i="1"/>
  <c r="O5" i="1" s="1"/>
  <c r="M5" i="1"/>
  <c r="L5" i="1"/>
  <c r="I5" i="1"/>
  <c r="E42" i="1" s="1"/>
  <c r="C5" i="1"/>
  <c r="BH4" i="1"/>
  <c r="BH5" i="1" s="1"/>
  <c r="BB4" i="1"/>
  <c r="G3" i="1" s="1"/>
  <c r="I8" i="1" s="1"/>
  <c r="AU4" i="1"/>
  <c r="AP4" i="1"/>
  <c r="AO4" i="1"/>
  <c r="AM4" i="1"/>
  <c r="AG4" i="1"/>
  <c r="AF4" i="1"/>
  <c r="AD4" i="1"/>
  <c r="AC4" i="1"/>
  <c r="X4" i="1"/>
  <c r="W4" i="1"/>
  <c r="U4" i="1"/>
  <c r="C48" i="1" s="1"/>
  <c r="M4" i="1"/>
  <c r="L4" i="1"/>
  <c r="C3" i="1"/>
  <c r="R8" i="1" l="1"/>
  <c r="N21" i="1"/>
  <c r="BF8" i="1"/>
  <c r="I12" i="1"/>
  <c r="AZ8" i="1"/>
  <c r="AU8" i="1"/>
  <c r="AU11" i="1" s="1"/>
  <c r="J5" i="1"/>
  <c r="E43" i="1" s="1"/>
  <c r="R13" i="1"/>
  <c r="Y20" i="1"/>
  <c r="R11" i="1"/>
  <c r="Y22" i="1"/>
  <c r="AL13" i="1"/>
  <c r="AC13" i="1"/>
  <c r="AC11" i="1"/>
  <c r="AD63" i="1" s="1"/>
  <c r="N6" i="1"/>
  <c r="L6" i="1" s="1"/>
  <c r="M6" i="1"/>
  <c r="BB5" i="1"/>
  <c r="AL8" i="1"/>
  <c r="AM6" i="1"/>
  <c r="AL6" i="1" s="1"/>
  <c r="G2" i="1"/>
  <c r="J4" i="1" s="1"/>
  <c r="F47" i="1"/>
  <c r="N22" i="1"/>
  <c r="N20" i="1"/>
  <c r="I11" i="1"/>
  <c r="E51" i="1"/>
  <c r="X5" i="1"/>
  <c r="X6" i="1"/>
  <c r="AP6" i="1"/>
  <c r="AC80" i="1"/>
  <c r="AC81" i="1"/>
  <c r="AC82" i="1"/>
  <c r="AC83" i="1"/>
  <c r="AC73" i="1"/>
  <c r="AC67" i="1"/>
  <c r="AC84" i="1"/>
  <c r="AC74" i="1"/>
  <c r="AC85" i="1"/>
  <c r="AC76" i="1"/>
  <c r="AC75" i="1"/>
  <c r="AC59" i="1"/>
  <c r="AC69" i="1"/>
  <c r="AC60" i="1"/>
  <c r="AC65" i="1"/>
  <c r="AC77" i="1"/>
  <c r="AC70" i="1"/>
  <c r="AC66" i="1"/>
  <c r="AC61" i="1"/>
  <c r="AC58" i="1"/>
  <c r="AC52" i="1"/>
  <c r="AC50" i="1"/>
  <c r="AC47" i="1"/>
  <c r="AC79" i="1"/>
  <c r="AC72" i="1"/>
  <c r="AC53" i="1"/>
  <c r="AC71" i="1"/>
  <c r="AC68" i="1"/>
  <c r="AC49" i="1"/>
  <c r="AC48" i="1"/>
  <c r="AC45" i="1"/>
  <c r="AC41" i="1"/>
  <c r="AC78" i="1"/>
  <c r="AC56" i="1"/>
  <c r="AC63" i="1"/>
  <c r="AC39" i="1"/>
  <c r="AC36" i="1"/>
  <c r="AC54" i="1"/>
  <c r="AC42" i="1"/>
  <c r="AC38" i="1"/>
  <c r="AC37" i="1"/>
  <c r="AC51" i="1"/>
  <c r="AC46" i="1"/>
  <c r="AC64" i="1"/>
  <c r="AC44" i="1"/>
  <c r="AC57" i="1"/>
  <c r="AC55" i="1"/>
  <c r="AC30" i="1"/>
  <c r="AC26" i="1"/>
  <c r="AC43" i="1"/>
  <c r="AC35" i="1"/>
  <c r="AC33" i="1"/>
  <c r="AC31" i="1"/>
  <c r="AD34" i="1"/>
  <c r="AC62" i="1"/>
  <c r="AC34" i="1"/>
  <c r="AC32" i="1"/>
  <c r="AC5" i="1"/>
  <c r="Y6" i="1"/>
  <c r="BF6" i="1"/>
  <c r="I13" i="1"/>
  <c r="AC28" i="1"/>
  <c r="AC40" i="1"/>
  <c r="AD77" i="1"/>
  <c r="AD60" i="1"/>
  <c r="AD72" i="1"/>
  <c r="AD59" i="1"/>
  <c r="AD55" i="1"/>
  <c r="AD31" i="1"/>
  <c r="AD49" i="1"/>
  <c r="AW4" i="1"/>
  <c r="AW5" i="1" s="1"/>
  <c r="AX5" i="1"/>
  <c r="AD6" i="1"/>
  <c r="AC8" i="1"/>
  <c r="AH20" i="1" s="1"/>
  <c r="AL12" i="1"/>
  <c r="AQ21" i="1"/>
  <c r="AD26" i="1"/>
  <c r="AD39" i="1"/>
  <c r="AD80" i="1"/>
  <c r="C11" i="1"/>
  <c r="AV79" i="1" l="1"/>
  <c r="AV75" i="1"/>
  <c r="AV58" i="1"/>
  <c r="AV54" i="1"/>
  <c r="AV48" i="1"/>
  <c r="AV30" i="1"/>
  <c r="AV70" i="1"/>
  <c r="AV55" i="1"/>
  <c r="AV52" i="1"/>
  <c r="AG30" i="1"/>
  <c r="AI30" i="1" s="1"/>
  <c r="AJ30" i="1" s="1"/>
  <c r="AG48" i="1"/>
  <c r="AI48" i="1" s="1"/>
  <c r="AJ48" i="1" s="1"/>
  <c r="AF55" i="1"/>
  <c r="AH55" i="1" s="1"/>
  <c r="AG63" i="1"/>
  <c r="AI63" i="1" s="1"/>
  <c r="AJ63" i="1" s="1"/>
  <c r="AF49" i="1"/>
  <c r="AH49" i="1" s="1"/>
  <c r="AF47" i="1"/>
  <c r="AH47" i="1" s="1"/>
  <c r="AG70" i="1"/>
  <c r="AI70" i="1" s="1"/>
  <c r="AJ70" i="1" s="1"/>
  <c r="AG39" i="1"/>
  <c r="AI39" i="1" s="1"/>
  <c r="AJ39" i="1" s="1"/>
  <c r="AG79" i="1"/>
  <c r="AI79" i="1" s="1"/>
  <c r="AJ79" i="1" s="1"/>
  <c r="AF66" i="1"/>
  <c r="AH66" i="1" s="1"/>
  <c r="AG65" i="1"/>
  <c r="AI65" i="1" s="1"/>
  <c r="AJ65" i="1" s="1"/>
  <c r="AG58" i="1"/>
  <c r="AI58" i="1" s="1"/>
  <c r="AJ58" i="1" s="1"/>
  <c r="AF61" i="1"/>
  <c r="AH61" i="1" s="1"/>
  <c r="AG32" i="1"/>
  <c r="AI32" i="1" s="1"/>
  <c r="AJ32" i="1" s="1"/>
  <c r="AF77" i="1"/>
  <c r="AH77" i="1" s="1"/>
  <c r="AF60" i="1"/>
  <c r="AH60" i="1" s="1"/>
  <c r="AG34" i="1"/>
  <c r="AI34" i="1" s="1"/>
  <c r="AJ34" i="1" s="1"/>
  <c r="AG83" i="1"/>
  <c r="AI83" i="1" s="1"/>
  <c r="AJ83" i="1" s="1"/>
  <c r="AG53" i="1"/>
  <c r="AI53" i="1" s="1"/>
  <c r="AJ53" i="1" s="1"/>
  <c r="AG68" i="1"/>
  <c r="AI68" i="1" s="1"/>
  <c r="AJ68" i="1" s="1"/>
  <c r="AF82" i="1"/>
  <c r="AH82" i="1" s="1"/>
  <c r="AG49" i="1"/>
  <c r="AI49" i="1" s="1"/>
  <c r="AJ49" i="1" s="1"/>
  <c r="AF76" i="1"/>
  <c r="AH76" i="1" s="1"/>
  <c r="AF59" i="1"/>
  <c r="AH59" i="1" s="1"/>
  <c r="AF54" i="1"/>
  <c r="AH54" i="1" s="1"/>
  <c r="AF29" i="1"/>
  <c r="AH29" i="1" s="1"/>
  <c r="AG84" i="1"/>
  <c r="AI84" i="1" s="1"/>
  <c r="AJ84" i="1" s="1"/>
  <c r="AG71" i="1"/>
  <c r="AI71" i="1" s="1"/>
  <c r="AJ71" i="1" s="1"/>
  <c r="AG72" i="1"/>
  <c r="AI72" i="1" s="1"/>
  <c r="AJ72" i="1" s="1"/>
  <c r="AG82" i="1"/>
  <c r="AI82" i="1" s="1"/>
  <c r="AJ82" i="1" s="1"/>
  <c r="AF74" i="1"/>
  <c r="AH74" i="1" s="1"/>
  <c r="AG46" i="1"/>
  <c r="AI46" i="1" s="1"/>
  <c r="AJ46" i="1" s="1"/>
  <c r="AF46" i="1"/>
  <c r="AH46" i="1" s="1"/>
  <c r="AF85" i="1"/>
  <c r="AH85" i="1" s="1"/>
  <c r="AF65" i="1"/>
  <c r="AH65" i="1" s="1"/>
  <c r="AF43" i="1"/>
  <c r="AH43" i="1" s="1"/>
  <c r="AF27" i="1"/>
  <c r="AH27" i="1" s="1"/>
  <c r="AF64" i="1"/>
  <c r="AH64" i="1" s="1"/>
  <c r="AF57" i="1"/>
  <c r="AH57" i="1" s="1"/>
  <c r="AF41" i="1"/>
  <c r="AH41" i="1" s="1"/>
  <c r="AF50" i="1"/>
  <c r="AH50" i="1" s="1"/>
  <c r="AG29" i="1"/>
  <c r="AI29" i="1" s="1"/>
  <c r="AJ29" i="1" s="1"/>
  <c r="AF83" i="1"/>
  <c r="AH83" i="1" s="1"/>
  <c r="AF78" i="1"/>
  <c r="AH78" i="1" s="1"/>
  <c r="AF71" i="1"/>
  <c r="AH71" i="1" s="1"/>
  <c r="AF62" i="1"/>
  <c r="AH62" i="1" s="1"/>
  <c r="AG64" i="1"/>
  <c r="AI64" i="1" s="1"/>
  <c r="AJ64" i="1" s="1"/>
  <c r="AF69" i="1"/>
  <c r="AH69" i="1" s="1"/>
  <c r="AG43" i="1"/>
  <c r="AI43" i="1" s="1"/>
  <c r="AJ43" i="1" s="1"/>
  <c r="AG44" i="1"/>
  <c r="AI44" i="1" s="1"/>
  <c r="AJ44" i="1" s="1"/>
  <c r="AG69" i="1"/>
  <c r="AI69" i="1" s="1"/>
  <c r="AJ69" i="1" s="1"/>
  <c r="AF44" i="1"/>
  <c r="AH44" i="1" s="1"/>
  <c r="AG78" i="1"/>
  <c r="AI78" i="1" s="1"/>
  <c r="AJ78" i="1" s="1"/>
  <c r="AG81" i="1"/>
  <c r="AI81" i="1" s="1"/>
  <c r="AJ81" i="1" s="1"/>
  <c r="AG60" i="1"/>
  <c r="AI60" i="1" s="1"/>
  <c r="AJ60" i="1" s="1"/>
  <c r="AG37" i="1"/>
  <c r="AI37" i="1" s="1"/>
  <c r="AJ37" i="1" s="1"/>
  <c r="AF32" i="1"/>
  <c r="AH32" i="1" s="1"/>
  <c r="AG80" i="1"/>
  <c r="AI80" i="1" s="1"/>
  <c r="AJ80" i="1" s="1"/>
  <c r="AF80" i="1"/>
  <c r="AH80" i="1" s="1"/>
  <c r="AG42" i="1"/>
  <c r="AI42" i="1" s="1"/>
  <c r="AJ42" i="1" s="1"/>
  <c r="AG77" i="1"/>
  <c r="AI77" i="1" s="1"/>
  <c r="AJ77" i="1" s="1"/>
  <c r="AG41" i="1"/>
  <c r="AI41" i="1" s="1"/>
  <c r="AJ41" i="1" s="1"/>
  <c r="AG66" i="1"/>
  <c r="AI66" i="1" s="1"/>
  <c r="AJ66" i="1" s="1"/>
  <c r="AF38" i="1"/>
  <c r="AH38" i="1" s="1"/>
  <c r="AF53" i="1"/>
  <c r="AH53" i="1" s="1"/>
  <c r="AF51" i="1"/>
  <c r="AH51" i="1" s="1"/>
  <c r="AF67" i="1"/>
  <c r="AH67" i="1" s="1"/>
  <c r="AV37" i="1"/>
  <c r="AV59" i="1"/>
  <c r="AV56" i="1"/>
  <c r="AV82" i="1"/>
  <c r="AV77" i="1"/>
  <c r="AV85" i="1"/>
  <c r="AD66" i="1"/>
  <c r="AD37" i="1"/>
  <c r="AD57" i="1"/>
  <c r="AD64" i="1"/>
  <c r="AD79" i="1"/>
  <c r="AD69" i="1"/>
  <c r="AD83" i="1"/>
  <c r="AF48" i="1"/>
  <c r="AH48" i="1" s="1"/>
  <c r="AU13" i="1"/>
  <c r="BA83" i="1"/>
  <c r="AZ82" i="1"/>
  <c r="BB82" i="1" s="1"/>
  <c r="BA77" i="1"/>
  <c r="BA78" i="1"/>
  <c r="AZ77" i="1"/>
  <c r="BB77" i="1" s="1"/>
  <c r="BA85" i="1"/>
  <c r="BA80" i="1"/>
  <c r="AZ79" i="1"/>
  <c r="BB79" i="1" s="1"/>
  <c r="BA70" i="1"/>
  <c r="BA81" i="1"/>
  <c r="AZ80" i="1"/>
  <c r="BA71" i="1"/>
  <c r="BA76" i="1"/>
  <c r="BA72" i="1"/>
  <c r="AZ85" i="1"/>
  <c r="AZ66" i="1"/>
  <c r="BB66" i="1" s="1"/>
  <c r="AZ64" i="1"/>
  <c r="BB64" i="1" s="1"/>
  <c r="BA62" i="1"/>
  <c r="AZ62" i="1"/>
  <c r="BB62" i="1" s="1"/>
  <c r="AZ74" i="1"/>
  <c r="BB74" i="1" s="1"/>
  <c r="AZ71" i="1"/>
  <c r="BA68" i="1"/>
  <c r="BA60" i="1"/>
  <c r="BA55" i="1"/>
  <c r="AZ67" i="1"/>
  <c r="AZ60" i="1"/>
  <c r="BA59" i="1"/>
  <c r="BA57" i="1"/>
  <c r="AZ56" i="1"/>
  <c r="BA48" i="1"/>
  <c r="AZ37" i="1"/>
  <c r="BA75" i="1"/>
  <c r="AZ65" i="1"/>
  <c r="BB65" i="1" s="1"/>
  <c r="AZ47" i="1"/>
  <c r="BA43" i="1"/>
  <c r="BA39" i="1"/>
  <c r="AZ50" i="1"/>
  <c r="BB50" i="1" s="1"/>
  <c r="BA44" i="1"/>
  <c r="BA33" i="1"/>
  <c r="AZ45" i="1"/>
  <c r="BB45" i="1" s="1"/>
  <c r="AZ44" i="1"/>
  <c r="BB44" i="1" s="1"/>
  <c r="BA41" i="1"/>
  <c r="AZ57" i="1"/>
  <c r="AZ51" i="1"/>
  <c r="BA46" i="1"/>
  <c r="BA40" i="1"/>
  <c r="BA27" i="1"/>
  <c r="AZ26" i="1"/>
  <c r="BB26" i="1" s="1"/>
  <c r="AZ52" i="1"/>
  <c r="AZ42" i="1"/>
  <c r="BB42" i="1" s="1"/>
  <c r="AZ40" i="1"/>
  <c r="BB40" i="1" s="1"/>
  <c r="AZ33" i="1"/>
  <c r="BB33" i="1" s="1"/>
  <c r="BA31" i="1"/>
  <c r="BA29" i="1"/>
  <c r="AZ29" i="1"/>
  <c r="BB29" i="1" s="1"/>
  <c r="BA54" i="1"/>
  <c r="AZ41" i="1"/>
  <c r="BB41" i="1" s="1"/>
  <c r="BA58" i="1"/>
  <c r="AZ13" i="1"/>
  <c r="BA26" i="1"/>
  <c r="AZ12" i="1"/>
  <c r="AZ6" i="1"/>
  <c r="BA32" i="1"/>
  <c r="BA5" i="1"/>
  <c r="AV33" i="1"/>
  <c r="AD33" i="1"/>
  <c r="AG47" i="1"/>
  <c r="AI47" i="1" s="1"/>
  <c r="AJ47" i="1" s="1"/>
  <c r="AG67" i="1"/>
  <c r="AI67" i="1" s="1"/>
  <c r="AJ67" i="1" s="1"/>
  <c r="AF70" i="1"/>
  <c r="AH70" i="1" s="1"/>
  <c r="AD47" i="1"/>
  <c r="AV50" i="1"/>
  <c r="AV66" i="1"/>
  <c r="AV39" i="1"/>
  <c r="AV64" i="1"/>
  <c r="AV74" i="1"/>
  <c r="AV67" i="1"/>
  <c r="AV72" i="1"/>
  <c r="AV78" i="1"/>
  <c r="AD45" i="1"/>
  <c r="AD38" i="1"/>
  <c r="AD62" i="1"/>
  <c r="AD54" i="1"/>
  <c r="AD78" i="1"/>
  <c r="AD85" i="1"/>
  <c r="AD76" i="1"/>
  <c r="AD44" i="1"/>
  <c r="F50" i="1"/>
  <c r="W6" i="1"/>
  <c r="AZ11" i="1"/>
  <c r="AZ76" i="1" s="1"/>
  <c r="BB76" i="1" s="1"/>
  <c r="J82" i="1"/>
  <c r="I81" i="1"/>
  <c r="J76" i="1"/>
  <c r="J83" i="1"/>
  <c r="I82" i="1"/>
  <c r="J77" i="1"/>
  <c r="I76" i="1"/>
  <c r="J84" i="1"/>
  <c r="I83" i="1"/>
  <c r="J78" i="1"/>
  <c r="J79" i="1"/>
  <c r="I78" i="1"/>
  <c r="J75" i="1"/>
  <c r="I74" i="1"/>
  <c r="J69" i="1"/>
  <c r="I68" i="1"/>
  <c r="J80" i="1"/>
  <c r="I79" i="1"/>
  <c r="L79" i="1" s="1"/>
  <c r="N79" i="1" s="1"/>
  <c r="I77" i="1"/>
  <c r="I75" i="1"/>
  <c r="J81" i="1"/>
  <c r="I80" i="1"/>
  <c r="M80" i="1" s="1"/>
  <c r="O80" i="1" s="1"/>
  <c r="P80" i="1" s="1"/>
  <c r="I70" i="1"/>
  <c r="J68" i="1"/>
  <c r="J66" i="1"/>
  <c r="J64" i="1"/>
  <c r="J61" i="1"/>
  <c r="I60" i="1"/>
  <c r="M60" i="1" s="1"/>
  <c r="O60" i="1" s="1"/>
  <c r="P60" i="1" s="1"/>
  <c r="J73" i="1"/>
  <c r="J72" i="1"/>
  <c r="I66" i="1"/>
  <c r="L66" i="1" s="1"/>
  <c r="N66" i="1" s="1"/>
  <c r="I64" i="1"/>
  <c r="J62" i="1"/>
  <c r="I61" i="1"/>
  <c r="J74" i="1"/>
  <c r="I73" i="1"/>
  <c r="I72" i="1"/>
  <c r="J71" i="1"/>
  <c r="J85" i="1"/>
  <c r="I84" i="1"/>
  <c r="L84" i="1" s="1"/>
  <c r="N84" i="1" s="1"/>
  <c r="J70" i="1"/>
  <c r="J54" i="1"/>
  <c r="I53" i="1"/>
  <c r="J49" i="1"/>
  <c r="I46" i="1"/>
  <c r="I71" i="1"/>
  <c r="I69" i="1"/>
  <c r="J65" i="1"/>
  <c r="J60" i="1"/>
  <c r="J55" i="1"/>
  <c r="I54" i="1"/>
  <c r="I85" i="1"/>
  <c r="I65" i="1"/>
  <c r="J63" i="1"/>
  <c r="J59" i="1"/>
  <c r="I59" i="1"/>
  <c r="I56" i="1"/>
  <c r="J52" i="1"/>
  <c r="J46" i="1"/>
  <c r="J67" i="1"/>
  <c r="I62" i="1"/>
  <c r="L62" i="1" s="1"/>
  <c r="N62" i="1" s="1"/>
  <c r="I55" i="1"/>
  <c r="I52" i="1"/>
  <c r="J48" i="1"/>
  <c r="J47" i="1"/>
  <c r="J38" i="1"/>
  <c r="J58" i="1"/>
  <c r="J53" i="1"/>
  <c r="I51" i="1"/>
  <c r="I49" i="1"/>
  <c r="M49" i="1" s="1"/>
  <c r="O49" i="1" s="1"/>
  <c r="P49" i="1" s="1"/>
  <c r="J45" i="1"/>
  <c r="I42" i="1"/>
  <c r="M42" i="1" s="1"/>
  <c r="O42" i="1" s="1"/>
  <c r="P42" i="1" s="1"/>
  <c r="I38" i="1"/>
  <c r="L38" i="1" s="1"/>
  <c r="N38" i="1" s="1"/>
  <c r="I37" i="1"/>
  <c r="M37" i="1" s="1"/>
  <c r="O37" i="1" s="1"/>
  <c r="P37" i="1" s="1"/>
  <c r="J32" i="1"/>
  <c r="I58" i="1"/>
  <c r="I45" i="1"/>
  <c r="M45" i="1" s="1"/>
  <c r="O45" i="1" s="1"/>
  <c r="P45" i="1" s="1"/>
  <c r="J44" i="1"/>
  <c r="J50" i="1"/>
  <c r="I47" i="1"/>
  <c r="I63" i="1"/>
  <c r="J57" i="1"/>
  <c r="J56" i="1"/>
  <c r="I50" i="1"/>
  <c r="I48" i="1"/>
  <c r="J43" i="1"/>
  <c r="I40" i="1"/>
  <c r="M40" i="1" s="1"/>
  <c r="O40" i="1" s="1"/>
  <c r="P40" i="1" s="1"/>
  <c r="I36" i="1"/>
  <c r="L36" i="1" s="1"/>
  <c r="N36" i="1" s="1"/>
  <c r="I34" i="1"/>
  <c r="M34" i="1" s="1"/>
  <c r="O34" i="1" s="1"/>
  <c r="P34" i="1" s="1"/>
  <c r="I32" i="1"/>
  <c r="I31" i="1"/>
  <c r="L31" i="1" s="1"/>
  <c r="N31" i="1" s="1"/>
  <c r="J26" i="1"/>
  <c r="AX4" i="1"/>
  <c r="V4" i="1"/>
  <c r="C49" i="1" s="1"/>
  <c r="J41" i="1"/>
  <c r="BI4" i="1"/>
  <c r="I43" i="1"/>
  <c r="L43" i="1" s="1"/>
  <c r="N43" i="1" s="1"/>
  <c r="J27" i="1"/>
  <c r="I26" i="1"/>
  <c r="M26" i="1" s="1"/>
  <c r="O26" i="1" s="1"/>
  <c r="P26" i="1" s="1"/>
  <c r="I57" i="1"/>
  <c r="L57" i="1" s="1"/>
  <c r="N57" i="1" s="1"/>
  <c r="J39" i="1"/>
  <c r="J35" i="1"/>
  <c r="J33" i="1"/>
  <c r="J28" i="1"/>
  <c r="I27" i="1"/>
  <c r="L27" i="1" s="1"/>
  <c r="N27" i="1" s="1"/>
  <c r="J51" i="1"/>
  <c r="I44" i="1"/>
  <c r="I41" i="1"/>
  <c r="I39" i="1"/>
  <c r="J37" i="1"/>
  <c r="I35" i="1"/>
  <c r="I33" i="1"/>
  <c r="L33" i="1" s="1"/>
  <c r="N33" i="1" s="1"/>
  <c r="I67" i="1"/>
  <c r="L42" i="1"/>
  <c r="N42" i="1" s="1"/>
  <c r="L40" i="1"/>
  <c r="N40" i="1" s="1"/>
  <c r="L34" i="1"/>
  <c r="N34" i="1" s="1"/>
  <c r="M32" i="1"/>
  <c r="O32" i="1" s="1"/>
  <c r="P32" i="1" s="1"/>
  <c r="L53" i="1"/>
  <c r="N53" i="1" s="1"/>
  <c r="J42" i="1"/>
  <c r="J36" i="1"/>
  <c r="I29" i="1"/>
  <c r="BC4" i="1"/>
  <c r="J30" i="1"/>
  <c r="J40" i="1"/>
  <c r="J34" i="1"/>
  <c r="J31" i="1"/>
  <c r="J6" i="1"/>
  <c r="M38" i="1"/>
  <c r="O38" i="1" s="1"/>
  <c r="P38" i="1" s="1"/>
  <c r="J29" i="1"/>
  <c r="I28" i="1"/>
  <c r="M28" i="1" s="1"/>
  <c r="O28" i="1" s="1"/>
  <c r="P28" i="1" s="1"/>
  <c r="L45" i="1"/>
  <c r="N45" i="1" s="1"/>
  <c r="L32" i="1"/>
  <c r="N32" i="1" s="1"/>
  <c r="I30" i="1"/>
  <c r="M30" i="1" s="1"/>
  <c r="O30" i="1" s="1"/>
  <c r="P30" i="1" s="1"/>
  <c r="M66" i="1"/>
  <c r="O66" i="1" s="1"/>
  <c r="P66" i="1" s="1"/>
  <c r="AU83" i="1"/>
  <c r="AW83" i="1" s="1"/>
  <c r="AU77" i="1"/>
  <c r="AW77" i="1" s="1"/>
  <c r="AU84" i="1"/>
  <c r="AU78" i="1"/>
  <c r="AW78" i="1" s="1"/>
  <c r="AU85" i="1"/>
  <c r="AU79" i="1"/>
  <c r="AW79" i="1" s="1"/>
  <c r="AU76" i="1"/>
  <c r="AW76" i="1" s="1"/>
  <c r="AU70" i="1"/>
  <c r="AW70" i="1" s="1"/>
  <c r="AU64" i="1"/>
  <c r="AU71" i="1"/>
  <c r="AU72" i="1"/>
  <c r="AW72" i="1" s="1"/>
  <c r="AU80" i="1"/>
  <c r="AU75" i="1"/>
  <c r="AW75" i="1" s="1"/>
  <c r="AU62" i="1"/>
  <c r="AW62" i="1" s="1"/>
  <c r="AU81" i="1"/>
  <c r="AU69" i="1"/>
  <c r="AW69" i="1" s="1"/>
  <c r="AU67" i="1"/>
  <c r="AU65" i="1"/>
  <c r="AW65" i="1" s="1"/>
  <c r="AU82" i="1"/>
  <c r="AW82" i="1" s="1"/>
  <c r="AU73" i="1"/>
  <c r="AW73" i="1" s="1"/>
  <c r="AU74" i="1"/>
  <c r="AU63" i="1"/>
  <c r="AU55" i="1"/>
  <c r="AU45" i="1"/>
  <c r="AW45" i="1" s="1"/>
  <c r="AU56" i="1"/>
  <c r="AW56" i="1" s="1"/>
  <c r="AU68" i="1"/>
  <c r="AW68" i="1" s="1"/>
  <c r="AU57" i="1"/>
  <c r="AU61" i="1"/>
  <c r="AU58" i="1"/>
  <c r="AU54" i="1"/>
  <c r="AW54" i="1" s="1"/>
  <c r="AU50" i="1"/>
  <c r="AW50" i="1" s="1"/>
  <c r="AU49" i="1"/>
  <c r="AW49" i="1" s="1"/>
  <c r="AU38" i="1"/>
  <c r="AW38" i="1" s="1"/>
  <c r="AU53" i="1"/>
  <c r="AW53" i="1" s="1"/>
  <c r="AU51" i="1"/>
  <c r="AU43" i="1"/>
  <c r="AW43" i="1" s="1"/>
  <c r="AU39" i="1"/>
  <c r="AW39" i="1" s="1"/>
  <c r="AU52" i="1"/>
  <c r="AW52" i="1" s="1"/>
  <c r="AU46" i="1"/>
  <c r="AU40" i="1"/>
  <c r="AU37" i="1"/>
  <c r="AU33" i="1"/>
  <c r="AW33" i="1" s="1"/>
  <c r="AU66" i="1"/>
  <c r="AW66" i="1" s="1"/>
  <c r="AU59" i="1"/>
  <c r="AW59" i="1" s="1"/>
  <c r="AU47" i="1"/>
  <c r="AU35" i="1"/>
  <c r="AU27" i="1"/>
  <c r="AU29" i="1"/>
  <c r="AW29" i="1" s="1"/>
  <c r="AU6" i="1"/>
  <c r="AU48" i="1"/>
  <c r="AW48" i="1" s="1"/>
  <c r="AU41" i="1"/>
  <c r="AW41" i="1" s="1"/>
  <c r="AU36" i="1"/>
  <c r="AU31" i="1"/>
  <c r="AW31" i="1" s="1"/>
  <c r="AU28" i="1"/>
  <c r="AW28" i="1" s="1"/>
  <c r="AU42" i="1"/>
  <c r="AW42" i="1" s="1"/>
  <c r="AV38" i="1"/>
  <c r="AU34" i="1"/>
  <c r="AW34" i="1" s="1"/>
  <c r="AU30" i="1"/>
  <c r="AU60" i="1"/>
  <c r="AU44" i="1"/>
  <c r="AW44" i="1" s="1"/>
  <c r="AU32" i="1"/>
  <c r="AW32" i="1" s="1"/>
  <c r="AV32" i="1"/>
  <c r="AV26" i="1"/>
  <c r="AV5" i="1"/>
  <c r="AV27" i="1"/>
  <c r="AU26" i="1"/>
  <c r="AW26" i="1" s="1"/>
  <c r="AV35" i="1"/>
  <c r="AV29" i="1"/>
  <c r="AV61" i="1"/>
  <c r="AV41" i="1"/>
  <c r="AV31" i="1"/>
  <c r="AG55" i="1"/>
  <c r="AI55" i="1" s="1"/>
  <c r="AJ55" i="1" s="1"/>
  <c r="AV46" i="1"/>
  <c r="AC7" i="1"/>
  <c r="AC12" i="1"/>
  <c r="AH21" i="1"/>
  <c r="AF36" i="1"/>
  <c r="AH36" i="1" s="1"/>
  <c r="AG35" i="1"/>
  <c r="AI35" i="1" s="1"/>
  <c r="AJ35" i="1" s="1"/>
  <c r="AF30" i="1"/>
  <c r="AH30" i="1" s="1"/>
  <c r="AF35" i="1"/>
  <c r="AH35" i="1" s="1"/>
  <c r="AG33" i="1"/>
  <c r="AI33" i="1" s="1"/>
  <c r="AJ33" i="1" s="1"/>
  <c r="AG31" i="1"/>
  <c r="AI31" i="1" s="1"/>
  <c r="AJ31" i="1" s="1"/>
  <c r="AD28" i="1"/>
  <c r="AF31" i="1"/>
  <c r="AH31" i="1" s="1"/>
  <c r="AD36" i="1"/>
  <c r="AD30" i="1"/>
  <c r="AF45" i="1"/>
  <c r="AH45" i="1" s="1"/>
  <c r="AG26" i="1"/>
  <c r="AI26" i="1" s="1"/>
  <c r="AJ26" i="1" s="1"/>
  <c r="AG27" i="1"/>
  <c r="AI27" i="1" s="1"/>
  <c r="AJ27" i="1" s="1"/>
  <c r="AF26" i="1"/>
  <c r="AH26" i="1" s="1"/>
  <c r="AD5" i="1"/>
  <c r="AF40" i="1"/>
  <c r="AH40" i="1" s="1"/>
  <c r="AV60" i="1"/>
  <c r="AV40" i="1"/>
  <c r="AV43" i="1"/>
  <c r="AV57" i="1"/>
  <c r="AV76" i="1"/>
  <c r="AV69" i="1"/>
  <c r="AV65" i="1"/>
  <c r="AV84" i="1"/>
  <c r="AD48" i="1"/>
  <c r="AD42" i="1"/>
  <c r="AD50" i="1"/>
  <c r="AD71" i="1"/>
  <c r="AD61" i="1"/>
  <c r="AD68" i="1"/>
  <c r="AD82" i="1"/>
  <c r="AG38" i="1"/>
  <c r="AI38" i="1" s="1"/>
  <c r="AJ38" i="1" s="1"/>
  <c r="AD40" i="1"/>
  <c r="AL7" i="1"/>
  <c r="AM5" i="1"/>
  <c r="AG52" i="1"/>
  <c r="AI52" i="1" s="1"/>
  <c r="AJ52" i="1" s="1"/>
  <c r="AQ20" i="1"/>
  <c r="AE82" i="1"/>
  <c r="AE76" i="1"/>
  <c r="AE83" i="1"/>
  <c r="AE77" i="1"/>
  <c r="AE84" i="1"/>
  <c r="AE78" i="1"/>
  <c r="AE85" i="1"/>
  <c r="AE69" i="1"/>
  <c r="AE70" i="1"/>
  <c r="AE75" i="1"/>
  <c r="AE67" i="1"/>
  <c r="AE65" i="1"/>
  <c r="AE61" i="1"/>
  <c r="AE62" i="1"/>
  <c r="AE71" i="1"/>
  <c r="AE79" i="1"/>
  <c r="AE72" i="1"/>
  <c r="AE54" i="1"/>
  <c r="AE49" i="1"/>
  <c r="AE68" i="1"/>
  <c r="AE64" i="1"/>
  <c r="AE60" i="1"/>
  <c r="AE55" i="1"/>
  <c r="AE80" i="1"/>
  <c r="AE63" i="1"/>
  <c r="AE59" i="1"/>
  <c r="AE56" i="1"/>
  <c r="AE74" i="1"/>
  <c r="AE57" i="1"/>
  <c r="AE51" i="1"/>
  <c r="AE66" i="1"/>
  <c r="AE58" i="1"/>
  <c r="AE38" i="1"/>
  <c r="AE73" i="1"/>
  <c r="AE48" i="1"/>
  <c r="AE45" i="1"/>
  <c r="AE32" i="1"/>
  <c r="AE52" i="1"/>
  <c r="AE46" i="1"/>
  <c r="AE44" i="1"/>
  <c r="AE81" i="1"/>
  <c r="AE47" i="1"/>
  <c r="AE43" i="1"/>
  <c r="AE41" i="1"/>
  <c r="AE39" i="1"/>
  <c r="AE31" i="1"/>
  <c r="AE26" i="1"/>
  <c r="AE34" i="1"/>
  <c r="AE27" i="1"/>
  <c r="AE53" i="1"/>
  <c r="AE28" i="1"/>
  <c r="AE50" i="1"/>
  <c r="AE42" i="1"/>
  <c r="AE40" i="1"/>
  <c r="AE37" i="1"/>
  <c r="AE29" i="1"/>
  <c r="AE36" i="1"/>
  <c r="AE35" i="1"/>
  <c r="AE33" i="1"/>
  <c r="AE30" i="1"/>
  <c r="BG82" i="1"/>
  <c r="BF81" i="1"/>
  <c r="BH81" i="1" s="1"/>
  <c r="BG83" i="1"/>
  <c r="BF82" i="1"/>
  <c r="BH82" i="1" s="1"/>
  <c r="BG77" i="1"/>
  <c r="BF76" i="1"/>
  <c r="BH76" i="1" s="1"/>
  <c r="BF83" i="1"/>
  <c r="BG78" i="1"/>
  <c r="BF77" i="1"/>
  <c r="BH77" i="1" s="1"/>
  <c r="BG85" i="1"/>
  <c r="BF84" i="1"/>
  <c r="BH84" i="1" s="1"/>
  <c r="BF74" i="1"/>
  <c r="BH74" i="1" s="1"/>
  <c r="BG69" i="1"/>
  <c r="BF68" i="1"/>
  <c r="BG63" i="1"/>
  <c r="BF85" i="1"/>
  <c r="BH85" i="1" s="1"/>
  <c r="BF70" i="1"/>
  <c r="BH70" i="1" s="1"/>
  <c r="BG61" i="1"/>
  <c r="BF60" i="1"/>
  <c r="BG68" i="1"/>
  <c r="BG66" i="1"/>
  <c r="BG62" i="1"/>
  <c r="BF61" i="1"/>
  <c r="BF66" i="1"/>
  <c r="BH66" i="1" s="1"/>
  <c r="BF64" i="1"/>
  <c r="BH64" i="1" s="1"/>
  <c r="BG79" i="1"/>
  <c r="BG72" i="1"/>
  <c r="BG80" i="1"/>
  <c r="BG73" i="1"/>
  <c r="BF71" i="1"/>
  <c r="BF67" i="1"/>
  <c r="BH67" i="1" s="1"/>
  <c r="BF58" i="1"/>
  <c r="BG54" i="1"/>
  <c r="BF53" i="1"/>
  <c r="BH53" i="1" s="1"/>
  <c r="BG49" i="1"/>
  <c r="BF46" i="1"/>
  <c r="BH46" i="1" s="1"/>
  <c r="BF73" i="1"/>
  <c r="BH73" i="1" s="1"/>
  <c r="BF63" i="1"/>
  <c r="BG55" i="1"/>
  <c r="BF54" i="1"/>
  <c r="BH54" i="1" s="1"/>
  <c r="BF72" i="1"/>
  <c r="BH72" i="1" s="1"/>
  <c r="BG65" i="1"/>
  <c r="BG56" i="1"/>
  <c r="BG81" i="1"/>
  <c r="BF65" i="1"/>
  <c r="BH65" i="1" s="1"/>
  <c r="BG60" i="1"/>
  <c r="BF56" i="1"/>
  <c r="BG53" i="1"/>
  <c r="BG45" i="1"/>
  <c r="BG37" i="1"/>
  <c r="BF57" i="1"/>
  <c r="BH57" i="1" s="1"/>
  <c r="BG46" i="1"/>
  <c r="BF45" i="1"/>
  <c r="BH45" i="1" s="1"/>
  <c r="BG38" i="1"/>
  <c r="BF37" i="1"/>
  <c r="BH37" i="1" s="1"/>
  <c r="BF79" i="1"/>
  <c r="BH79" i="1" s="1"/>
  <c r="BG51" i="1"/>
  <c r="BF40" i="1"/>
  <c r="BG39" i="1"/>
  <c r="BG32" i="1"/>
  <c r="BF31" i="1"/>
  <c r="BH31" i="1" s="1"/>
  <c r="BF51" i="1"/>
  <c r="BF49" i="1"/>
  <c r="BG42" i="1"/>
  <c r="BF39" i="1"/>
  <c r="BH39" i="1" s="1"/>
  <c r="BF52" i="1"/>
  <c r="BH52" i="1" s="1"/>
  <c r="BG74" i="1"/>
  <c r="BG50" i="1"/>
  <c r="BF47" i="1"/>
  <c r="BH47" i="1" s="1"/>
  <c r="BG44" i="1"/>
  <c r="BG36" i="1"/>
  <c r="BG26" i="1"/>
  <c r="BG71" i="1"/>
  <c r="BF44" i="1"/>
  <c r="BH44" i="1" s="1"/>
  <c r="BF36" i="1"/>
  <c r="BF34" i="1"/>
  <c r="BH34" i="1" s="1"/>
  <c r="BG27" i="1"/>
  <c r="BF26" i="1"/>
  <c r="BG5" i="1"/>
  <c r="BG41" i="1"/>
  <c r="BG28" i="1"/>
  <c r="BG67" i="1"/>
  <c r="BF55" i="1"/>
  <c r="BH55" i="1" s="1"/>
  <c r="BF41" i="1"/>
  <c r="BH41" i="1" s="1"/>
  <c r="BG35" i="1"/>
  <c r="BG33" i="1"/>
  <c r="BG58" i="1"/>
  <c r="BF50" i="1"/>
  <c r="BH50" i="1" s="1"/>
  <c r="BG48" i="1"/>
  <c r="BG43" i="1"/>
  <c r="BF42" i="1"/>
  <c r="BH42" i="1" s="1"/>
  <c r="BF35" i="1"/>
  <c r="BF33" i="1"/>
  <c r="BH33" i="1" s="1"/>
  <c r="BF43" i="1"/>
  <c r="BH43" i="1" s="1"/>
  <c r="BG31" i="1"/>
  <c r="BF29" i="1"/>
  <c r="BH29" i="1" s="1"/>
  <c r="BF13" i="1"/>
  <c r="BF48" i="1"/>
  <c r="BH48" i="1" s="1"/>
  <c r="BF12" i="1"/>
  <c r="BF30" i="1"/>
  <c r="BH30" i="1" s="1"/>
  <c r="BG40" i="1"/>
  <c r="BF28" i="1"/>
  <c r="BH28" i="1" s="1"/>
  <c r="BF11" i="1"/>
  <c r="BG76" i="1" s="1"/>
  <c r="BG30" i="1"/>
  <c r="AV45" i="1"/>
  <c r="AV36" i="1"/>
  <c r="AV28" i="1"/>
  <c r="AG51" i="1"/>
  <c r="AI51" i="1" s="1"/>
  <c r="AJ51" i="1" s="1"/>
  <c r="AF39" i="1"/>
  <c r="AH39" i="1" s="1"/>
  <c r="AG54" i="1"/>
  <c r="AI54" i="1" s="1"/>
  <c r="AJ54" i="1" s="1"/>
  <c r="AF58" i="1"/>
  <c r="AH58" i="1" s="1"/>
  <c r="AF56" i="1"/>
  <c r="AH56" i="1" s="1"/>
  <c r="AG56" i="1"/>
  <c r="AI56" i="1" s="1"/>
  <c r="AJ56" i="1" s="1"/>
  <c r="AF73" i="1"/>
  <c r="AH73" i="1" s="1"/>
  <c r="AF68" i="1"/>
  <c r="AH68" i="1" s="1"/>
  <c r="AF72" i="1"/>
  <c r="AH72" i="1" s="1"/>
  <c r="AF75" i="1"/>
  <c r="AH75" i="1" s="1"/>
  <c r="AG75" i="1"/>
  <c r="AI75" i="1" s="1"/>
  <c r="AJ75" i="1" s="1"/>
  <c r="AF84" i="1"/>
  <c r="AH84" i="1" s="1"/>
  <c r="AF42" i="1"/>
  <c r="AH42" i="1" s="1"/>
  <c r="AF34" i="1"/>
  <c r="AH34" i="1" s="1"/>
  <c r="AF28" i="1"/>
  <c r="AH28" i="1" s="1"/>
  <c r="AC6" i="1"/>
  <c r="AF37" i="1"/>
  <c r="AH37" i="1" s="1"/>
  <c r="AV47" i="1"/>
  <c r="AV42" i="1"/>
  <c r="AV51" i="1"/>
  <c r="AV62" i="1"/>
  <c r="AV83" i="1"/>
  <c r="AV81" i="1"/>
  <c r="AV71" i="1"/>
  <c r="AD27" i="1"/>
  <c r="AD70" i="1"/>
  <c r="AD58" i="1"/>
  <c r="AD52" i="1"/>
  <c r="AD46" i="1"/>
  <c r="AD65" i="1"/>
  <c r="AD74" i="1"/>
  <c r="AD75" i="1"/>
  <c r="M53" i="1"/>
  <c r="O53" i="1" s="1"/>
  <c r="P53" i="1" s="1"/>
  <c r="AD29" i="1"/>
  <c r="AQ22" i="1"/>
  <c r="AV34" i="1"/>
  <c r="AD35" i="1"/>
  <c r="AG28" i="1"/>
  <c r="AI28" i="1" s="1"/>
  <c r="AJ28" i="1" s="1"/>
  <c r="AG50" i="1"/>
  <c r="AI50" i="1" s="1"/>
  <c r="AJ50" i="1" s="1"/>
  <c r="AG61" i="1"/>
  <c r="AI61" i="1" s="1"/>
  <c r="AJ61" i="1" s="1"/>
  <c r="AF33" i="1"/>
  <c r="AH33" i="1" s="1"/>
  <c r="AF52" i="1"/>
  <c r="AH52" i="1" s="1"/>
  <c r="AG40" i="1"/>
  <c r="AI40" i="1" s="1"/>
  <c r="AJ40" i="1" s="1"/>
  <c r="AF81" i="1"/>
  <c r="AH81" i="1" s="1"/>
  <c r="AG62" i="1"/>
  <c r="AI62" i="1" s="1"/>
  <c r="AJ62" i="1" s="1"/>
  <c r="AG57" i="1"/>
  <c r="AI57" i="1" s="1"/>
  <c r="AJ57" i="1" s="1"/>
  <c r="AG59" i="1"/>
  <c r="AI59" i="1" s="1"/>
  <c r="AJ59" i="1" s="1"/>
  <c r="AG74" i="1"/>
  <c r="AI74" i="1" s="1"/>
  <c r="AJ74" i="1" s="1"/>
  <c r="AF63" i="1"/>
  <c r="AH63" i="1" s="1"/>
  <c r="AG73" i="1"/>
  <c r="AI73" i="1" s="1"/>
  <c r="AJ73" i="1" s="1"/>
  <c r="AG76" i="1"/>
  <c r="AI76" i="1" s="1"/>
  <c r="AJ76" i="1" s="1"/>
  <c r="AF79" i="1"/>
  <c r="AH79" i="1" s="1"/>
  <c r="AG85" i="1"/>
  <c r="AI85" i="1" s="1"/>
  <c r="AJ85" i="1" s="1"/>
  <c r="AG36" i="1"/>
  <c r="AI36" i="1" s="1"/>
  <c r="AJ36" i="1" s="1"/>
  <c r="M43" i="1"/>
  <c r="O43" i="1" s="1"/>
  <c r="P43" i="1" s="1"/>
  <c r="M62" i="1"/>
  <c r="O62" i="1" s="1"/>
  <c r="P62" i="1" s="1"/>
  <c r="L63" i="1"/>
  <c r="N63" i="1" s="1"/>
  <c r="M63" i="1"/>
  <c r="O63" i="1" s="1"/>
  <c r="P63" i="1" s="1"/>
  <c r="L82" i="1"/>
  <c r="N82" i="1" s="1"/>
  <c r="M82" i="1"/>
  <c r="O82" i="1" s="1"/>
  <c r="P82" i="1" s="1"/>
  <c r="M79" i="1"/>
  <c r="O79" i="1" s="1"/>
  <c r="P79" i="1" s="1"/>
  <c r="AD41" i="1"/>
  <c r="M33" i="1"/>
  <c r="O33" i="1" s="1"/>
  <c r="P33" i="1" s="1"/>
  <c r="L28" i="1"/>
  <c r="N28" i="1" s="1"/>
  <c r="L37" i="1"/>
  <c r="N37" i="1" s="1"/>
  <c r="AV49" i="1"/>
  <c r="AV44" i="1"/>
  <c r="AV53" i="1"/>
  <c r="AV68" i="1"/>
  <c r="AV63" i="1"/>
  <c r="AV73" i="1"/>
  <c r="AV80" i="1"/>
  <c r="AD43" i="1"/>
  <c r="AD73" i="1"/>
  <c r="AD51" i="1"/>
  <c r="AD56" i="1"/>
  <c r="AD53" i="1"/>
  <c r="AD67" i="1"/>
  <c r="AD84" i="1"/>
  <c r="AD81" i="1"/>
  <c r="AG45" i="1"/>
  <c r="AI45" i="1" s="1"/>
  <c r="AJ45" i="1" s="1"/>
  <c r="AD32" i="1"/>
  <c r="AU12" i="1"/>
  <c r="AH22" i="1"/>
  <c r="AL11" i="1"/>
  <c r="AM85" i="1" s="1"/>
  <c r="S83" i="1"/>
  <c r="R82" i="1"/>
  <c r="S77" i="1"/>
  <c r="R76" i="1"/>
  <c r="S84" i="1"/>
  <c r="R83" i="1"/>
  <c r="S78" i="1"/>
  <c r="R77" i="1"/>
  <c r="S85" i="1"/>
  <c r="R84" i="1"/>
  <c r="S79" i="1"/>
  <c r="R78" i="1"/>
  <c r="R85" i="1"/>
  <c r="R75" i="1"/>
  <c r="S70" i="1"/>
  <c r="R69" i="1"/>
  <c r="S64" i="1"/>
  <c r="S71" i="1"/>
  <c r="S72" i="1"/>
  <c r="S80" i="1"/>
  <c r="R79" i="1"/>
  <c r="R70" i="1"/>
  <c r="S68" i="1"/>
  <c r="S66" i="1"/>
  <c r="S62" i="1"/>
  <c r="R61" i="1"/>
  <c r="S81" i="1"/>
  <c r="R80" i="1"/>
  <c r="R68" i="1"/>
  <c r="R66" i="1"/>
  <c r="R64" i="1"/>
  <c r="S63" i="1"/>
  <c r="R62" i="1"/>
  <c r="S82" i="1"/>
  <c r="R81" i="1"/>
  <c r="S73" i="1"/>
  <c r="R72" i="1"/>
  <c r="R73" i="1"/>
  <c r="S55" i="1"/>
  <c r="R54" i="1"/>
  <c r="R49" i="1"/>
  <c r="S67" i="1"/>
  <c r="S61" i="1"/>
  <c r="S56" i="1"/>
  <c r="R55" i="1"/>
  <c r="S76" i="1"/>
  <c r="R67" i="1"/>
  <c r="S60" i="1"/>
  <c r="S57" i="1"/>
  <c r="R60" i="1"/>
  <c r="S58" i="1"/>
  <c r="R57" i="1"/>
  <c r="R53" i="1"/>
  <c r="S52" i="1"/>
  <c r="S46" i="1"/>
  <c r="S38" i="1"/>
  <c r="S74" i="1"/>
  <c r="S65" i="1"/>
  <c r="R63" i="1"/>
  <c r="R58" i="1"/>
  <c r="R56" i="1"/>
  <c r="R52" i="1"/>
  <c r="S48" i="1"/>
  <c r="S47" i="1"/>
  <c r="R46" i="1"/>
  <c r="S43" i="1"/>
  <c r="S39" i="1"/>
  <c r="R38" i="1"/>
  <c r="S54" i="1"/>
  <c r="R48" i="1"/>
  <c r="S42" i="1"/>
  <c r="R39" i="1"/>
  <c r="S33" i="1"/>
  <c r="R32" i="1"/>
  <c r="S75" i="1"/>
  <c r="S59" i="1"/>
  <c r="S51" i="1"/>
  <c r="S45" i="1"/>
  <c r="R42" i="1"/>
  <c r="S69" i="1"/>
  <c r="R59" i="1"/>
  <c r="R51" i="1"/>
  <c r="S49" i="1"/>
  <c r="R71" i="1"/>
  <c r="S53" i="1"/>
  <c r="R44" i="1"/>
  <c r="S44" i="1"/>
  <c r="R41" i="1"/>
  <c r="R36" i="1"/>
  <c r="R34" i="1"/>
  <c r="S32" i="1"/>
  <c r="S27" i="1"/>
  <c r="R26" i="1"/>
  <c r="S40" i="1"/>
  <c r="S35" i="1"/>
  <c r="R28" i="1"/>
  <c r="S28" i="1"/>
  <c r="R27" i="1"/>
  <c r="R65" i="1"/>
  <c r="R47" i="1"/>
  <c r="S29" i="1"/>
  <c r="R45" i="1"/>
  <c r="R40" i="1"/>
  <c r="R35" i="1"/>
  <c r="S30" i="1"/>
  <c r="R29" i="1"/>
  <c r="R74" i="1"/>
  <c r="S50" i="1"/>
  <c r="R43" i="1"/>
  <c r="S37" i="1"/>
  <c r="R37" i="1"/>
  <c r="S34" i="1"/>
  <c r="Y21" i="1"/>
  <c r="S5" i="1"/>
  <c r="E47" i="1" s="1"/>
  <c r="R12" i="1"/>
  <c r="S26" i="1"/>
  <c r="R6" i="1"/>
  <c r="R50" i="1"/>
  <c r="S36" i="1"/>
  <c r="R33" i="1"/>
  <c r="R30" i="1"/>
  <c r="S41" i="1"/>
  <c r="S31" i="1"/>
  <c r="R31" i="1"/>
  <c r="BJ76" i="1" l="1"/>
  <c r="BI76" i="1"/>
  <c r="W34" i="1"/>
  <c r="U34" i="1"/>
  <c r="U58" i="1"/>
  <c r="W58" i="1"/>
  <c r="V73" i="1"/>
  <c r="T73" i="1"/>
  <c r="T71" i="1"/>
  <c r="V71" i="1"/>
  <c r="AM75" i="1"/>
  <c r="AM63" i="1"/>
  <c r="BJ33" i="1"/>
  <c r="BI33" i="1"/>
  <c r="BJ66" i="1"/>
  <c r="BI66" i="1"/>
  <c r="AL42" i="1"/>
  <c r="BD32" i="1"/>
  <c r="BC32" i="1"/>
  <c r="BC29" i="1"/>
  <c r="BD29" i="1"/>
  <c r="BD39" i="1"/>
  <c r="BC39" i="1"/>
  <c r="BB85" i="1"/>
  <c r="U36" i="1"/>
  <c r="W36" i="1"/>
  <c r="W53" i="1"/>
  <c r="U53" i="1"/>
  <c r="T64" i="1"/>
  <c r="V64" i="1"/>
  <c r="AL38" i="1"/>
  <c r="AM45" i="1"/>
  <c r="AL29" i="1"/>
  <c r="AY28" i="1"/>
  <c r="AX28" i="1"/>
  <c r="BJ40" i="1"/>
  <c r="BI40" i="1"/>
  <c r="BI31" i="1"/>
  <c r="BJ31" i="1"/>
  <c r="BI43" i="1"/>
  <c r="BJ43" i="1"/>
  <c r="BJ35" i="1"/>
  <c r="BI35" i="1"/>
  <c r="BJ41" i="1"/>
  <c r="BI41" i="1"/>
  <c r="BH36" i="1"/>
  <c r="BJ44" i="1"/>
  <c r="BI44" i="1"/>
  <c r="BJ32" i="1"/>
  <c r="BI32" i="1"/>
  <c r="BJ37" i="1"/>
  <c r="BI37" i="1"/>
  <c r="BJ49" i="1"/>
  <c r="BI49" i="1"/>
  <c r="BH71" i="1"/>
  <c r="BJ68" i="1"/>
  <c r="BI68" i="1"/>
  <c r="BJ63" i="1"/>
  <c r="BI63" i="1"/>
  <c r="BJ85" i="1"/>
  <c r="BI85" i="1"/>
  <c r="BJ77" i="1"/>
  <c r="BI77" i="1"/>
  <c r="BJ82" i="1"/>
  <c r="BI82" i="1"/>
  <c r="AL79" i="1"/>
  <c r="AL66" i="1"/>
  <c r="AM46" i="1"/>
  <c r="AY76" i="1"/>
  <c r="AX76" i="1"/>
  <c r="AY46" i="1"/>
  <c r="AX46" i="1"/>
  <c r="AY35" i="1"/>
  <c r="AX35" i="1"/>
  <c r="F43" i="1"/>
  <c r="I6" i="1"/>
  <c r="BI6" i="1"/>
  <c r="AX6" i="1"/>
  <c r="V6" i="1"/>
  <c r="F49" i="1" s="1"/>
  <c r="BC6" i="1"/>
  <c r="M36" i="1"/>
  <c r="O36" i="1" s="1"/>
  <c r="P36" i="1" s="1"/>
  <c r="M51" i="1"/>
  <c r="O51" i="1" s="1"/>
  <c r="P51" i="1" s="1"/>
  <c r="L51" i="1"/>
  <c r="N51" i="1" s="1"/>
  <c r="L52" i="1"/>
  <c r="N52" i="1" s="1"/>
  <c r="M52" i="1"/>
  <c r="O52" i="1" s="1"/>
  <c r="P52" i="1" s="1"/>
  <c r="L56" i="1"/>
  <c r="N56" i="1" s="1"/>
  <c r="M56" i="1"/>
  <c r="O56" i="1" s="1"/>
  <c r="P56" i="1" s="1"/>
  <c r="M54" i="1"/>
  <c r="O54" i="1" s="1"/>
  <c r="P54" i="1" s="1"/>
  <c r="L54" i="1"/>
  <c r="N54" i="1" s="1"/>
  <c r="L46" i="1"/>
  <c r="N46" i="1" s="1"/>
  <c r="M46" i="1"/>
  <c r="O46" i="1" s="1"/>
  <c r="P46" i="1" s="1"/>
  <c r="L83" i="1"/>
  <c r="N83" i="1" s="1"/>
  <c r="M83" i="1"/>
  <c r="O83" i="1" s="1"/>
  <c r="P83" i="1" s="1"/>
  <c r="AY64" i="1"/>
  <c r="AX64" i="1"/>
  <c r="BC54" i="1"/>
  <c r="BD54" i="1"/>
  <c r="BC31" i="1"/>
  <c r="BD31" i="1"/>
  <c r="BC27" i="1"/>
  <c r="BD27" i="1"/>
  <c r="BB51" i="1"/>
  <c r="BC44" i="1"/>
  <c r="BD44" i="1"/>
  <c r="BD43" i="1"/>
  <c r="BC43" i="1"/>
  <c r="BD75" i="1"/>
  <c r="BC75" i="1"/>
  <c r="BB56" i="1"/>
  <c r="BB60" i="1"/>
  <c r="BD60" i="1"/>
  <c r="BC60" i="1"/>
  <c r="BC72" i="1"/>
  <c r="BD72" i="1"/>
  <c r="BB80" i="1"/>
  <c r="AY85" i="1"/>
  <c r="AX85" i="1"/>
  <c r="AM77" i="1"/>
  <c r="AY48" i="1"/>
  <c r="AX48" i="1"/>
  <c r="W71" i="1"/>
  <c r="U71" i="1"/>
  <c r="V52" i="1"/>
  <c r="T52" i="1"/>
  <c r="W78" i="1"/>
  <c r="U78" i="1"/>
  <c r="BI28" i="1"/>
  <c r="BJ28" i="1"/>
  <c r="BJ36" i="1"/>
  <c r="BI36" i="1"/>
  <c r="AY38" i="1"/>
  <c r="AX38" i="1"/>
  <c r="M35" i="1"/>
  <c r="O35" i="1" s="1"/>
  <c r="P35" i="1" s="1"/>
  <c r="L35" i="1"/>
  <c r="N35" i="1" s="1"/>
  <c r="BD41" i="1"/>
  <c r="BC41" i="1"/>
  <c r="BB71" i="1"/>
  <c r="BC85" i="1"/>
  <c r="BD85" i="1"/>
  <c r="AY37" i="1"/>
  <c r="AX37" i="1"/>
  <c r="T29" i="1"/>
  <c r="V29" i="1"/>
  <c r="W47" i="1"/>
  <c r="U47" i="1"/>
  <c r="V47" i="1"/>
  <c r="T47" i="1"/>
  <c r="W54" i="1"/>
  <c r="U54" i="1"/>
  <c r="W84" i="1"/>
  <c r="U84" i="1"/>
  <c r="AM34" i="1"/>
  <c r="L49" i="1"/>
  <c r="N49" i="1" s="1"/>
  <c r="AM80" i="1"/>
  <c r="AX36" i="1"/>
  <c r="AY36" i="1"/>
  <c r="BI48" i="1"/>
  <c r="BJ48" i="1"/>
  <c r="BJ42" i="1"/>
  <c r="BI42" i="1"/>
  <c r="BI45" i="1"/>
  <c r="BJ45" i="1"/>
  <c r="BJ81" i="1"/>
  <c r="BI81" i="1"/>
  <c r="BJ55" i="1"/>
  <c r="BI55" i="1"/>
  <c r="AM71" i="1"/>
  <c r="AM52" i="1"/>
  <c r="AL36" i="1"/>
  <c r="AY57" i="1"/>
  <c r="AX57" i="1"/>
  <c r="AW80" i="1"/>
  <c r="L26" i="1"/>
  <c r="N26" i="1" s="1"/>
  <c r="M67" i="1"/>
  <c r="O67" i="1" s="1"/>
  <c r="P67" i="1" s="1"/>
  <c r="L67" i="1"/>
  <c r="N67" i="1" s="1"/>
  <c r="M47" i="1"/>
  <c r="O47" i="1" s="1"/>
  <c r="P47" i="1" s="1"/>
  <c r="L47" i="1"/>
  <c r="N47" i="1" s="1"/>
  <c r="M55" i="1"/>
  <c r="O55" i="1" s="1"/>
  <c r="P55" i="1" s="1"/>
  <c r="L55" i="1"/>
  <c r="N55" i="1" s="1"/>
  <c r="M59" i="1"/>
  <c r="O59" i="1" s="1"/>
  <c r="P59" i="1" s="1"/>
  <c r="L59" i="1"/>
  <c r="N59" i="1" s="1"/>
  <c r="L64" i="1"/>
  <c r="N64" i="1" s="1"/>
  <c r="M64" i="1"/>
  <c r="O64" i="1" s="1"/>
  <c r="P64" i="1" s="1"/>
  <c r="L75" i="1"/>
  <c r="N75" i="1" s="1"/>
  <c r="M75" i="1"/>
  <c r="O75" i="1" s="1"/>
  <c r="P75" i="1" s="1"/>
  <c r="M74" i="1"/>
  <c r="O74" i="1" s="1"/>
  <c r="P74" i="1" s="1"/>
  <c r="L74" i="1"/>
  <c r="N74" i="1" s="1"/>
  <c r="L81" i="1"/>
  <c r="N81" i="1" s="1"/>
  <c r="M81" i="1"/>
  <c r="O81" i="1" s="1"/>
  <c r="P81" i="1" s="1"/>
  <c r="AX39" i="1"/>
  <c r="AY39" i="1"/>
  <c r="BC58" i="1"/>
  <c r="BD58" i="1"/>
  <c r="BB52" i="1"/>
  <c r="BC40" i="1"/>
  <c r="BD40" i="1"/>
  <c r="BB57" i="1"/>
  <c r="BB47" i="1"/>
  <c r="BB37" i="1"/>
  <c r="BC57" i="1"/>
  <c r="BD57" i="1"/>
  <c r="BB67" i="1"/>
  <c r="BD68" i="1"/>
  <c r="BC68" i="1"/>
  <c r="BC76" i="1"/>
  <c r="BD76" i="1"/>
  <c r="BD81" i="1"/>
  <c r="BC81" i="1"/>
  <c r="BD80" i="1"/>
  <c r="BC80" i="1"/>
  <c r="BD78" i="1"/>
  <c r="BC78" i="1"/>
  <c r="BD83" i="1"/>
  <c r="BC83" i="1"/>
  <c r="AY77" i="1"/>
  <c r="AX77" i="1"/>
  <c r="AY54" i="1"/>
  <c r="AX54" i="1"/>
  <c r="U45" i="1"/>
  <c r="W45" i="1"/>
  <c r="W39" i="1"/>
  <c r="U39" i="1"/>
  <c r="V67" i="1"/>
  <c r="T67" i="1"/>
  <c r="V66" i="1"/>
  <c r="T66" i="1"/>
  <c r="AL37" i="1"/>
  <c r="AM83" i="1"/>
  <c r="BJ60" i="1"/>
  <c r="BI60" i="1"/>
  <c r="AY32" i="1"/>
  <c r="AX32" i="1"/>
  <c r="AL72" i="1"/>
  <c r="L58" i="1"/>
  <c r="N58" i="1" s="1"/>
  <c r="M58" i="1"/>
  <c r="O58" i="1" s="1"/>
  <c r="P58" i="1" s="1"/>
  <c r="AY74" i="1"/>
  <c r="AX74" i="1"/>
  <c r="BC33" i="1"/>
  <c r="BD33" i="1"/>
  <c r="BD55" i="1"/>
  <c r="BC55" i="1"/>
  <c r="BD70" i="1"/>
  <c r="BC70" i="1"/>
  <c r="AX30" i="1"/>
  <c r="AY30" i="1"/>
  <c r="W74" i="1"/>
  <c r="U74" i="1"/>
  <c r="V51" i="1"/>
  <c r="T51" i="1"/>
  <c r="W63" i="1"/>
  <c r="U63" i="1"/>
  <c r="W81" i="1"/>
  <c r="U81" i="1"/>
  <c r="AX47" i="1"/>
  <c r="AY47" i="1"/>
  <c r="T34" i="1"/>
  <c r="V34" i="1"/>
  <c r="U41" i="1"/>
  <c r="W41" i="1"/>
  <c r="V59" i="1"/>
  <c r="T59" i="1"/>
  <c r="T65" i="1"/>
  <c r="V65" i="1"/>
  <c r="V82" i="1"/>
  <c r="T82" i="1"/>
  <c r="U69" i="1"/>
  <c r="W69" i="1"/>
  <c r="AL65" i="1"/>
  <c r="AL48" i="1"/>
  <c r="BI39" i="1"/>
  <c r="BJ39" i="1"/>
  <c r="BJ73" i="1"/>
  <c r="BI73" i="1"/>
  <c r="V31" i="1"/>
  <c r="T31" i="1"/>
  <c r="W37" i="1"/>
  <c r="U37" i="1"/>
  <c r="V30" i="1"/>
  <c r="T30" i="1"/>
  <c r="W65" i="1"/>
  <c r="U65" i="1"/>
  <c r="W26" i="1"/>
  <c r="U26" i="1"/>
  <c r="T44" i="1"/>
  <c r="V44" i="1"/>
  <c r="U59" i="1"/>
  <c r="W59" i="1"/>
  <c r="V75" i="1"/>
  <c r="T75" i="1"/>
  <c r="V54" i="1"/>
  <c r="T54" i="1"/>
  <c r="T48" i="1"/>
  <c r="V48" i="1"/>
  <c r="V74" i="1"/>
  <c r="T74" i="1"/>
  <c r="V58" i="1"/>
  <c r="T58" i="1"/>
  <c r="U55" i="1"/>
  <c r="W55" i="1"/>
  <c r="V55" i="1"/>
  <c r="T55" i="1"/>
  <c r="W62" i="1"/>
  <c r="U62" i="1"/>
  <c r="V81" i="1"/>
  <c r="T81" i="1"/>
  <c r="U79" i="1"/>
  <c r="W79" i="1"/>
  <c r="V70" i="1"/>
  <c r="T70" i="1"/>
  <c r="T85" i="1"/>
  <c r="V85" i="1"/>
  <c r="V77" i="1"/>
  <c r="T77" i="1"/>
  <c r="AL83" i="1"/>
  <c r="AM76" i="1"/>
  <c r="AL47" i="1"/>
  <c r="AM30" i="1"/>
  <c r="AX44" i="1"/>
  <c r="AY44" i="1"/>
  <c r="M84" i="1"/>
  <c r="O84" i="1" s="1"/>
  <c r="P84" i="1" s="1"/>
  <c r="AY34" i="1"/>
  <c r="AX34" i="1"/>
  <c r="AL80" i="1"/>
  <c r="AL53" i="1"/>
  <c r="AM40" i="1"/>
  <c r="AY83" i="1"/>
  <c r="AX83" i="1"/>
  <c r="AY45" i="1"/>
  <c r="AX45" i="1"/>
  <c r="BH26" i="1"/>
  <c r="BI71" i="1"/>
  <c r="BJ71" i="1"/>
  <c r="BJ50" i="1"/>
  <c r="BI50" i="1"/>
  <c r="BH49" i="1"/>
  <c r="BH40" i="1"/>
  <c r="BJ53" i="1"/>
  <c r="BI53" i="1"/>
  <c r="BI56" i="1"/>
  <c r="BJ56" i="1"/>
  <c r="BH63" i="1"/>
  <c r="BJ54" i="1"/>
  <c r="BI54" i="1"/>
  <c r="BJ80" i="1"/>
  <c r="BI80" i="1"/>
  <c r="BH61" i="1"/>
  <c r="BI61" i="1"/>
  <c r="BJ61" i="1"/>
  <c r="BJ69" i="1"/>
  <c r="BI69" i="1"/>
  <c r="BI78" i="1"/>
  <c r="BJ78" i="1"/>
  <c r="BJ83" i="1"/>
  <c r="BI83" i="1"/>
  <c r="AM73" i="1"/>
  <c r="AL52" i="1"/>
  <c r="AY43" i="1"/>
  <c r="AX43" i="1"/>
  <c r="AY31" i="1"/>
  <c r="AX31" i="1"/>
  <c r="AY27" i="1"/>
  <c r="AX27" i="1"/>
  <c r="AW60" i="1"/>
  <c r="AW27" i="1"/>
  <c r="AW37" i="1"/>
  <c r="AW51" i="1"/>
  <c r="AW58" i="1"/>
  <c r="AW55" i="1"/>
  <c r="AW67" i="1"/>
  <c r="AW85" i="1"/>
  <c r="M27" i="1"/>
  <c r="O27" i="1" s="1"/>
  <c r="P27" i="1" s="1"/>
  <c r="L29" i="1"/>
  <c r="N29" i="1" s="1"/>
  <c r="M29" i="1"/>
  <c r="O29" i="1" s="1"/>
  <c r="P29" i="1" s="1"/>
  <c r="L30" i="1"/>
  <c r="N30" i="1" s="1"/>
  <c r="M39" i="1"/>
  <c r="O39" i="1" s="1"/>
  <c r="P39" i="1" s="1"/>
  <c r="L39" i="1"/>
  <c r="N39" i="1" s="1"/>
  <c r="M48" i="1"/>
  <c r="O48" i="1" s="1"/>
  <c r="P48" i="1" s="1"/>
  <c r="L48" i="1"/>
  <c r="N48" i="1" s="1"/>
  <c r="L72" i="1"/>
  <c r="N72" i="1" s="1"/>
  <c r="M72" i="1"/>
  <c r="O72" i="1" s="1"/>
  <c r="P72" i="1" s="1"/>
  <c r="M77" i="1"/>
  <c r="O77" i="1" s="1"/>
  <c r="P77" i="1" s="1"/>
  <c r="L77" i="1"/>
  <c r="N77" i="1" s="1"/>
  <c r="L76" i="1"/>
  <c r="N76" i="1" s="1"/>
  <c r="M76" i="1"/>
  <c r="O76" i="1" s="1"/>
  <c r="P76" i="1" s="1"/>
  <c r="AY78" i="1"/>
  <c r="AX78" i="1"/>
  <c r="AY66" i="1"/>
  <c r="AX66" i="1"/>
  <c r="AZ34" i="1"/>
  <c r="BB34" i="1" s="1"/>
  <c r="BA34" i="1"/>
  <c r="BA30" i="1"/>
  <c r="AZ27" i="1"/>
  <c r="BB27" i="1" s="1"/>
  <c r="BA61" i="1"/>
  <c r="BA42" i="1"/>
  <c r="BA51" i="1"/>
  <c r="BA53" i="1"/>
  <c r="AZ58" i="1"/>
  <c r="BB58" i="1" s="1"/>
  <c r="AZ48" i="1"/>
  <c r="BB48" i="1" s="1"/>
  <c r="BA38" i="1"/>
  <c r="AZ59" i="1"/>
  <c r="BB59" i="1" s="1"/>
  <c r="BA45" i="1"/>
  <c r="BA65" i="1"/>
  <c r="AZ73" i="1"/>
  <c r="BB73" i="1" s="1"/>
  <c r="AZ68" i="1"/>
  <c r="BB68" i="1" s="1"/>
  <c r="AZ81" i="1"/>
  <c r="BB81" i="1" s="1"/>
  <c r="AZ63" i="1"/>
  <c r="BB63" i="1" s="1"/>
  <c r="AZ78" i="1"/>
  <c r="BB78" i="1" s="1"/>
  <c r="AZ83" i="1"/>
  <c r="BB83" i="1" s="1"/>
  <c r="AY82" i="1"/>
  <c r="AX82" i="1"/>
  <c r="AX52" i="1"/>
  <c r="AY52" i="1"/>
  <c r="AX58" i="1"/>
  <c r="AY58" i="1"/>
  <c r="V50" i="1"/>
  <c r="T50" i="1"/>
  <c r="V45" i="1"/>
  <c r="T45" i="1"/>
  <c r="V60" i="1"/>
  <c r="T60" i="1"/>
  <c r="AM61" i="1"/>
  <c r="AL39" i="1"/>
  <c r="AM31" i="1"/>
  <c r="AM79" i="1"/>
  <c r="AL81" i="1"/>
  <c r="AL75" i="1"/>
  <c r="AM38" i="1"/>
  <c r="AM50" i="1"/>
  <c r="AM54" i="1"/>
  <c r="AL46" i="1"/>
  <c r="AL45" i="1"/>
  <c r="AL43" i="1"/>
  <c r="AM84" i="1"/>
  <c r="AM64" i="1"/>
  <c r="AM67" i="1"/>
  <c r="AL67" i="1"/>
  <c r="AL56" i="1"/>
  <c r="AM39" i="1"/>
  <c r="AM59" i="1"/>
  <c r="AL31" i="1"/>
  <c r="AM32" i="1"/>
  <c r="AM74" i="1"/>
  <c r="AL74" i="1"/>
  <c r="AL49" i="1"/>
  <c r="AM60" i="1"/>
  <c r="AM51" i="1"/>
  <c r="AL51" i="1"/>
  <c r="AM47" i="1"/>
  <c r="AL57" i="1"/>
  <c r="AL64" i="1"/>
  <c r="AL44" i="1"/>
  <c r="AL35" i="1"/>
  <c r="AL28" i="1"/>
  <c r="AM41" i="1"/>
  <c r="AL41" i="1"/>
  <c r="AL30" i="1"/>
  <c r="AL76" i="1"/>
  <c r="AL84" i="1"/>
  <c r="AL69" i="1"/>
  <c r="AM82" i="1"/>
  <c r="AM69" i="1"/>
  <c r="AL73" i="1"/>
  <c r="AL85" i="1"/>
  <c r="AM66" i="1"/>
  <c r="AM57" i="1"/>
  <c r="AL50" i="1"/>
  <c r="AM43" i="1"/>
  <c r="AM42" i="1"/>
  <c r="AM53" i="1"/>
  <c r="AM48" i="1"/>
  <c r="AL58" i="1"/>
  <c r="AL33" i="1"/>
  <c r="AL40" i="1"/>
  <c r="AL59" i="1"/>
  <c r="AL34" i="1"/>
  <c r="AM26" i="1"/>
  <c r="AM49" i="1"/>
  <c r="AY63" i="1"/>
  <c r="AX63" i="1"/>
  <c r="AL32" i="1"/>
  <c r="AY42" i="1"/>
  <c r="AX42" i="1"/>
  <c r="AL54" i="1"/>
  <c r="AY29" i="1"/>
  <c r="AX29" i="1"/>
  <c r="L71" i="1"/>
  <c r="N71" i="1" s="1"/>
  <c r="M71" i="1"/>
  <c r="O71" i="1" s="1"/>
  <c r="P71" i="1" s="1"/>
  <c r="M68" i="1"/>
  <c r="O68" i="1" s="1"/>
  <c r="P68" i="1" s="1"/>
  <c r="L68" i="1"/>
  <c r="N68" i="1" s="1"/>
  <c r="BD26" i="1"/>
  <c r="BC26" i="1"/>
  <c r="BD59" i="1"/>
  <c r="BC59" i="1"/>
  <c r="BD71" i="1"/>
  <c r="BC71" i="1"/>
  <c r="V36" i="1"/>
  <c r="T36" i="1"/>
  <c r="V35" i="1"/>
  <c r="T35" i="1"/>
  <c r="T42" i="1"/>
  <c r="V42" i="1"/>
  <c r="W67" i="1"/>
  <c r="U67" i="1"/>
  <c r="W68" i="1"/>
  <c r="U68" i="1"/>
  <c r="T79" i="1"/>
  <c r="V79" i="1"/>
  <c r="AM65" i="1"/>
  <c r="AY68" i="1"/>
  <c r="AX68" i="1"/>
  <c r="AM78" i="1"/>
  <c r="AY71" i="1"/>
  <c r="AX71" i="1"/>
  <c r="U50" i="1"/>
  <c r="W50" i="1"/>
  <c r="T40" i="1"/>
  <c r="V40" i="1"/>
  <c r="U48" i="1"/>
  <c r="W48" i="1"/>
  <c r="V76" i="1"/>
  <c r="T76" i="1"/>
  <c r="W70" i="1"/>
  <c r="U70" i="1"/>
  <c r="BJ38" i="1"/>
  <c r="BI38" i="1"/>
  <c r="BH60" i="1"/>
  <c r="V41" i="1"/>
  <c r="T41" i="1"/>
  <c r="V37" i="1"/>
  <c r="T37" i="1"/>
  <c r="W27" i="1"/>
  <c r="U27" i="1"/>
  <c r="V69" i="1"/>
  <c r="T69" i="1"/>
  <c r="U38" i="1"/>
  <c r="W38" i="1"/>
  <c r="T38" i="1"/>
  <c r="V38" i="1"/>
  <c r="T56" i="1"/>
  <c r="V56" i="1"/>
  <c r="U73" i="1"/>
  <c r="W73" i="1"/>
  <c r="W61" i="1"/>
  <c r="U61" i="1"/>
  <c r="V80" i="1"/>
  <c r="T80" i="1"/>
  <c r="W75" i="1"/>
  <c r="U75" i="1"/>
  <c r="W77" i="1"/>
  <c r="U77" i="1"/>
  <c r="W82" i="1"/>
  <c r="U82" i="1"/>
  <c r="AL78" i="1"/>
  <c r="AM56" i="1"/>
  <c r="AM58" i="1"/>
  <c r="AX80" i="1"/>
  <c r="AY80" i="1"/>
  <c r="AY49" i="1"/>
  <c r="AX49" i="1"/>
  <c r="L60" i="1"/>
  <c r="N60" i="1" s="1"/>
  <c r="AM72" i="1"/>
  <c r="AL63" i="1"/>
  <c r="AL26" i="1"/>
  <c r="AY62" i="1"/>
  <c r="AX62" i="1"/>
  <c r="BI30" i="1"/>
  <c r="BJ30" i="1"/>
  <c r="BH35" i="1"/>
  <c r="BJ58" i="1"/>
  <c r="BI58" i="1"/>
  <c r="BJ67" i="1"/>
  <c r="BI67" i="1"/>
  <c r="BI27" i="1"/>
  <c r="BJ27" i="1"/>
  <c r="BJ26" i="1"/>
  <c r="BI26" i="1"/>
  <c r="BJ74" i="1"/>
  <c r="BI74" i="1"/>
  <c r="BH51" i="1"/>
  <c r="BJ51" i="1"/>
  <c r="BI51" i="1"/>
  <c r="BJ46" i="1"/>
  <c r="BI46" i="1"/>
  <c r="BH56" i="1"/>
  <c r="BI65" i="1"/>
  <c r="BJ65" i="1"/>
  <c r="BH58" i="1"/>
  <c r="BJ72" i="1"/>
  <c r="BI72" i="1"/>
  <c r="BJ62" i="1"/>
  <c r="BI62" i="1"/>
  <c r="BH83" i="1"/>
  <c r="BF75" i="1"/>
  <c r="BH75" i="1" s="1"/>
  <c r="AL61" i="1"/>
  <c r="AM68" i="1"/>
  <c r="AM37" i="1"/>
  <c r="AY84" i="1"/>
  <c r="AX84" i="1"/>
  <c r="AY40" i="1"/>
  <c r="AX40" i="1"/>
  <c r="AX41" i="1"/>
  <c r="AY41" i="1"/>
  <c r="AW30" i="1"/>
  <c r="AW36" i="1"/>
  <c r="AW35" i="1"/>
  <c r="AW40" i="1"/>
  <c r="AW61" i="1"/>
  <c r="AW63" i="1"/>
  <c r="AW71" i="1"/>
  <c r="AM70" i="1"/>
  <c r="M31" i="1"/>
  <c r="O31" i="1" s="1"/>
  <c r="P31" i="1" s="1"/>
  <c r="L41" i="1"/>
  <c r="N41" i="1" s="1"/>
  <c r="M41" i="1"/>
  <c r="O41" i="1" s="1"/>
  <c r="P41" i="1" s="1"/>
  <c r="L50" i="1"/>
  <c r="N50" i="1" s="1"/>
  <c r="M50" i="1"/>
  <c r="O50" i="1" s="1"/>
  <c r="P50" i="1" s="1"/>
  <c r="M73" i="1"/>
  <c r="O73" i="1" s="1"/>
  <c r="P73" i="1" s="1"/>
  <c r="L73" i="1"/>
  <c r="N73" i="1" s="1"/>
  <c r="L78" i="1"/>
  <c r="N78" i="1" s="1"/>
  <c r="M78" i="1"/>
  <c r="O78" i="1" s="1"/>
  <c r="P78" i="1" s="1"/>
  <c r="AY72" i="1"/>
  <c r="AX72" i="1"/>
  <c r="AX50" i="1"/>
  <c r="AY50" i="1"/>
  <c r="AY33" i="1"/>
  <c r="AX33" i="1"/>
  <c r="BA66" i="1"/>
  <c r="AZ36" i="1"/>
  <c r="BB36" i="1" s="1"/>
  <c r="AZ31" i="1"/>
  <c r="BB31" i="1" s="1"/>
  <c r="BA28" i="1"/>
  <c r="AZ28" i="1"/>
  <c r="BB28" i="1" s="1"/>
  <c r="AZ43" i="1"/>
  <c r="BB43" i="1" s="1"/>
  <c r="AZ53" i="1"/>
  <c r="BB53" i="1" s="1"/>
  <c r="BA63" i="1"/>
  <c r="AZ75" i="1"/>
  <c r="BB75" i="1" s="1"/>
  <c r="BA49" i="1"/>
  <c r="AZ46" i="1"/>
  <c r="BB46" i="1" s="1"/>
  <c r="AZ55" i="1"/>
  <c r="BB55" i="1" s="1"/>
  <c r="AZ49" i="1"/>
  <c r="BB49" i="1" s="1"/>
  <c r="BA67" i="1"/>
  <c r="BA74" i="1"/>
  <c r="AZ72" i="1"/>
  <c r="BB72" i="1" s="1"/>
  <c r="BA82" i="1"/>
  <c r="BA64" i="1"/>
  <c r="BA79" i="1"/>
  <c r="BA84" i="1"/>
  <c r="AY56" i="1"/>
  <c r="AX56" i="1"/>
  <c r="AY55" i="1"/>
  <c r="AX55" i="1"/>
  <c r="AY75" i="1"/>
  <c r="AX75" i="1"/>
  <c r="U33" i="1"/>
  <c r="W33" i="1"/>
  <c r="U28" i="1"/>
  <c r="W28" i="1"/>
  <c r="T43" i="1"/>
  <c r="V43" i="1"/>
  <c r="U66" i="1"/>
  <c r="W66" i="1"/>
  <c r="W83" i="1"/>
  <c r="U83" i="1"/>
  <c r="AM27" i="1"/>
  <c r="AM29" i="1"/>
  <c r="BJ79" i="1"/>
  <c r="BI79" i="1"/>
  <c r="AL77" i="1"/>
  <c r="AM36" i="1"/>
  <c r="AY69" i="1"/>
  <c r="AX69" i="1"/>
  <c r="M85" i="1"/>
  <c r="O85" i="1" s="1"/>
  <c r="P85" i="1" s="1"/>
  <c r="L85" i="1"/>
  <c r="N85" i="1" s="1"/>
  <c r="M61" i="1"/>
  <c r="O61" i="1" s="1"/>
  <c r="P61" i="1" s="1"/>
  <c r="L61" i="1"/>
  <c r="N61" i="1" s="1"/>
  <c r="BD46" i="1"/>
  <c r="BC46" i="1"/>
  <c r="BD48" i="1"/>
  <c r="BC48" i="1"/>
  <c r="BD62" i="1"/>
  <c r="BC62" i="1"/>
  <c r="BD77" i="1"/>
  <c r="BC77" i="1"/>
  <c r="T49" i="1"/>
  <c r="V49" i="1"/>
  <c r="W46" i="1"/>
  <c r="U46" i="1"/>
  <c r="U49" i="1"/>
  <c r="W49" i="1"/>
  <c r="T68" i="1"/>
  <c r="V68" i="1"/>
  <c r="T84" i="1"/>
  <c r="V84" i="1"/>
  <c r="AM28" i="1"/>
  <c r="AM55" i="1"/>
  <c r="W31" i="1"/>
  <c r="U31" i="1"/>
  <c r="U29" i="1"/>
  <c r="W29" i="1"/>
  <c r="U51" i="1"/>
  <c r="W51" i="1"/>
  <c r="U57" i="1"/>
  <c r="W57" i="1"/>
  <c r="U80" i="1"/>
  <c r="W80" i="1"/>
  <c r="W76" i="1"/>
  <c r="U76" i="1"/>
  <c r="AM33" i="1"/>
  <c r="AY53" i="1"/>
  <c r="AX53" i="1"/>
  <c r="AL55" i="1"/>
  <c r="AY81" i="1"/>
  <c r="AX81" i="1"/>
  <c r="BH68" i="1"/>
  <c r="F46" i="1"/>
  <c r="U6" i="1"/>
  <c r="F48" i="1" s="1"/>
  <c r="V26" i="1"/>
  <c r="T26" i="1"/>
  <c r="U35" i="1"/>
  <c r="W35" i="1"/>
  <c r="T27" i="1"/>
  <c r="V27" i="1"/>
  <c r="U44" i="1"/>
  <c r="W44" i="1"/>
  <c r="W32" i="1"/>
  <c r="U32" i="1"/>
  <c r="U52" i="1"/>
  <c r="W52" i="1"/>
  <c r="W60" i="1"/>
  <c r="U60" i="1"/>
  <c r="T63" i="1"/>
  <c r="V63" i="1"/>
  <c r="U30" i="1"/>
  <c r="W30" i="1"/>
  <c r="W43" i="1"/>
  <c r="U43" i="1"/>
  <c r="U40" i="1"/>
  <c r="W40" i="1"/>
  <c r="T28" i="1"/>
  <c r="V28" i="1"/>
  <c r="V32" i="1"/>
  <c r="T32" i="1"/>
  <c r="V53" i="1"/>
  <c r="T53" i="1"/>
  <c r="U42" i="1"/>
  <c r="W42" i="1"/>
  <c r="V33" i="1"/>
  <c r="T33" i="1"/>
  <c r="T39" i="1"/>
  <c r="V39" i="1"/>
  <c r="U56" i="1"/>
  <c r="W56" i="1"/>
  <c r="T46" i="1"/>
  <c r="V46" i="1"/>
  <c r="T57" i="1"/>
  <c r="V57" i="1"/>
  <c r="T61" i="1"/>
  <c r="V61" i="1"/>
  <c r="U72" i="1"/>
  <c r="W72" i="1"/>
  <c r="U64" i="1"/>
  <c r="W64" i="1"/>
  <c r="T62" i="1"/>
  <c r="V62" i="1"/>
  <c r="T72" i="1"/>
  <c r="V72" i="1"/>
  <c r="U85" i="1"/>
  <c r="W85" i="1"/>
  <c r="T78" i="1"/>
  <c r="V78" i="1"/>
  <c r="V83" i="1"/>
  <c r="T83" i="1"/>
  <c r="AM81" i="1"/>
  <c r="AL60" i="1"/>
  <c r="AM44" i="1"/>
  <c r="AX73" i="1"/>
  <c r="AY73" i="1"/>
  <c r="L80" i="1"/>
  <c r="N80" i="1" s="1"/>
  <c r="M57" i="1"/>
  <c r="O57" i="1" s="1"/>
  <c r="P57" i="1" s="1"/>
  <c r="AM62" i="1"/>
  <c r="AL71" i="1"/>
  <c r="AL27" i="1"/>
  <c r="AY51" i="1"/>
  <c r="AX51" i="1"/>
  <c r="BF38" i="1"/>
  <c r="BH38" i="1" s="1"/>
  <c r="BG29" i="1"/>
  <c r="BF27" i="1"/>
  <c r="BH27" i="1" s="1"/>
  <c r="BF32" i="1"/>
  <c r="BH32" i="1" s="1"/>
  <c r="BG34" i="1"/>
  <c r="BG47" i="1"/>
  <c r="BF59" i="1"/>
  <c r="BH59" i="1" s="1"/>
  <c r="BG59" i="1"/>
  <c r="BG52" i="1"/>
  <c r="BG57" i="1"/>
  <c r="BF69" i="1"/>
  <c r="BH69" i="1" s="1"/>
  <c r="BF80" i="1"/>
  <c r="BH80" i="1" s="1"/>
  <c r="BF62" i="1"/>
  <c r="BH62" i="1" s="1"/>
  <c r="BF78" i="1"/>
  <c r="BH78" i="1" s="1"/>
  <c r="BG64" i="1"/>
  <c r="BG70" i="1"/>
  <c r="BG75" i="1"/>
  <c r="BG84" i="1"/>
  <c r="AL82" i="1"/>
  <c r="AL62" i="1"/>
  <c r="AL68" i="1"/>
  <c r="AM35" i="1"/>
  <c r="AX65" i="1"/>
  <c r="AY65" i="1"/>
  <c r="AY60" i="1"/>
  <c r="AX60" i="1"/>
  <c r="AY61" i="1"/>
  <c r="AX61" i="1"/>
  <c r="AY26" i="1"/>
  <c r="AX26" i="1"/>
  <c r="AW47" i="1"/>
  <c r="AW46" i="1"/>
  <c r="AW57" i="1"/>
  <c r="AW74" i="1"/>
  <c r="AW81" i="1"/>
  <c r="AW64" i="1"/>
  <c r="AW84" i="1"/>
  <c r="AL70" i="1"/>
  <c r="M44" i="1"/>
  <c r="O44" i="1" s="1"/>
  <c r="P44" i="1" s="1"/>
  <c r="L44" i="1"/>
  <c r="N44" i="1" s="1"/>
  <c r="L65" i="1"/>
  <c r="N65" i="1" s="1"/>
  <c r="M65" i="1"/>
  <c r="O65" i="1" s="1"/>
  <c r="P65" i="1" s="1"/>
  <c r="M69" i="1"/>
  <c r="O69" i="1" s="1"/>
  <c r="P69" i="1" s="1"/>
  <c r="L69" i="1"/>
  <c r="N69" i="1" s="1"/>
  <c r="M70" i="1"/>
  <c r="O70" i="1" s="1"/>
  <c r="P70" i="1" s="1"/>
  <c r="L70" i="1"/>
  <c r="N70" i="1" s="1"/>
  <c r="AX67" i="1"/>
  <c r="AY67" i="1"/>
  <c r="AZ30" i="1"/>
  <c r="BB30" i="1" s="1"/>
  <c r="AZ39" i="1"/>
  <c r="BB39" i="1" s="1"/>
  <c r="BA36" i="1"/>
  <c r="BA35" i="1"/>
  <c r="AZ35" i="1"/>
  <c r="BB35" i="1" s="1"/>
  <c r="BA52" i="1"/>
  <c r="BA37" i="1"/>
  <c r="AZ32" i="1"/>
  <c r="BB32" i="1" s="1"/>
  <c r="AZ38" i="1"/>
  <c r="BB38" i="1" s="1"/>
  <c r="BA50" i="1"/>
  <c r="BA47" i="1"/>
  <c r="BA56" i="1"/>
  <c r="AZ54" i="1"/>
  <c r="BB54" i="1" s="1"/>
  <c r="BA69" i="1"/>
  <c r="AZ61" i="1"/>
  <c r="BB61" i="1" s="1"/>
  <c r="BA73" i="1"/>
  <c r="AZ70" i="1"/>
  <c r="BB70" i="1" s="1"/>
  <c r="AZ69" i="1"/>
  <c r="BB69" i="1" s="1"/>
  <c r="AZ84" i="1"/>
  <c r="BB84" i="1" s="1"/>
  <c r="AX59" i="1"/>
  <c r="AY59" i="1"/>
  <c r="AX70" i="1"/>
  <c r="AY70" i="1"/>
  <c r="AY79" i="1"/>
  <c r="AX79" i="1"/>
  <c r="BJ29" i="1" l="1"/>
  <c r="BI29" i="1"/>
  <c r="AO67" i="1"/>
  <c r="AQ67" i="1" s="1"/>
  <c r="AP67" i="1"/>
  <c r="AR67" i="1" s="1"/>
  <c r="AS67" i="1" s="1"/>
  <c r="Y65" i="1"/>
  <c r="X65" i="1"/>
  <c r="X54" i="1"/>
  <c r="Y54" i="1"/>
  <c r="BD37" i="1"/>
  <c r="BC37" i="1"/>
  <c r="AP82" i="1"/>
  <c r="AR82" i="1" s="1"/>
  <c r="AS82" i="1" s="1"/>
  <c r="AO82" i="1"/>
  <c r="AQ82" i="1" s="1"/>
  <c r="X32" i="1"/>
  <c r="Y32" i="1"/>
  <c r="Y51" i="1"/>
  <c r="X51" i="1"/>
  <c r="X49" i="1"/>
  <c r="Y49" i="1"/>
  <c r="BD84" i="1"/>
  <c r="BC84" i="1"/>
  <c r="BD67" i="1"/>
  <c r="BC67" i="1"/>
  <c r="BD63" i="1"/>
  <c r="BC63" i="1"/>
  <c r="Y77" i="1"/>
  <c r="X77" i="1"/>
  <c r="X61" i="1"/>
  <c r="Y61" i="1"/>
  <c r="Y27" i="1"/>
  <c r="X27" i="1"/>
  <c r="Y48" i="1"/>
  <c r="X48" i="1"/>
  <c r="AP54" i="1"/>
  <c r="AR54" i="1" s="1"/>
  <c r="AS54" i="1" s="1"/>
  <c r="AO54" i="1"/>
  <c r="AQ54" i="1" s="1"/>
  <c r="AP58" i="1"/>
  <c r="AR58" i="1" s="1"/>
  <c r="AS58" i="1" s="1"/>
  <c r="AO58" i="1"/>
  <c r="AQ58" i="1" s="1"/>
  <c r="AO69" i="1"/>
  <c r="AQ69" i="1" s="1"/>
  <c r="AP69" i="1"/>
  <c r="AR69" i="1" s="1"/>
  <c r="AS69" i="1" s="1"/>
  <c r="AO28" i="1"/>
  <c r="AQ28" i="1" s="1"/>
  <c r="AP28" i="1"/>
  <c r="AR28" i="1" s="1"/>
  <c r="AS28" i="1" s="1"/>
  <c r="AO51" i="1"/>
  <c r="AQ51" i="1" s="1"/>
  <c r="AP51" i="1"/>
  <c r="AR51" i="1" s="1"/>
  <c r="AS51" i="1" s="1"/>
  <c r="BC38" i="1"/>
  <c r="BD38" i="1"/>
  <c r="BD61" i="1"/>
  <c r="BC61" i="1"/>
  <c r="X69" i="1"/>
  <c r="Y69" i="1"/>
  <c r="F42" i="1"/>
  <c r="BH6" i="1"/>
  <c r="AO42" i="1"/>
  <c r="AQ42" i="1" s="1"/>
  <c r="AP42" i="1"/>
  <c r="AR42" i="1" s="1"/>
  <c r="AS42" i="1" s="1"/>
  <c r="AP62" i="1"/>
  <c r="AR62" i="1" s="1"/>
  <c r="AS62" i="1" s="1"/>
  <c r="AO62" i="1"/>
  <c r="AQ62" i="1" s="1"/>
  <c r="Y64" i="1"/>
  <c r="X64" i="1"/>
  <c r="Y35" i="1"/>
  <c r="X35" i="1"/>
  <c r="AO63" i="1"/>
  <c r="AQ63" i="1" s="1"/>
  <c r="AP63" i="1"/>
  <c r="AR63" i="1" s="1"/>
  <c r="AS63" i="1" s="1"/>
  <c r="AO50" i="1"/>
  <c r="AQ50" i="1" s="1"/>
  <c r="AP50" i="1"/>
  <c r="AR50" i="1" s="1"/>
  <c r="AS50" i="1" s="1"/>
  <c r="AP47" i="1"/>
  <c r="AR47" i="1" s="1"/>
  <c r="AS47" i="1" s="1"/>
  <c r="AO47" i="1"/>
  <c r="AQ47" i="1" s="1"/>
  <c r="Y63" i="1"/>
  <c r="X63" i="1"/>
  <c r="BD56" i="1"/>
  <c r="BC56" i="1"/>
  <c r="BD52" i="1"/>
  <c r="BC52" i="1"/>
  <c r="BI84" i="1"/>
  <c r="BJ84" i="1"/>
  <c r="BI47" i="1"/>
  <c r="BJ47" i="1"/>
  <c r="Y72" i="1"/>
  <c r="X72" i="1"/>
  <c r="Y44" i="1"/>
  <c r="X44" i="1"/>
  <c r="X76" i="1"/>
  <c r="Y76" i="1"/>
  <c r="BC79" i="1"/>
  <c r="BD79" i="1"/>
  <c r="BC66" i="1"/>
  <c r="BD66" i="1"/>
  <c r="Y73" i="1"/>
  <c r="X73" i="1"/>
  <c r="Y38" i="1"/>
  <c r="X38" i="1"/>
  <c r="AP84" i="1"/>
  <c r="AR84" i="1" s="1"/>
  <c r="AS84" i="1" s="1"/>
  <c r="AO84" i="1"/>
  <c r="AQ84" i="1" s="1"/>
  <c r="AP35" i="1"/>
  <c r="AR35" i="1" s="1"/>
  <c r="AS35" i="1" s="1"/>
  <c r="AO35" i="1"/>
  <c r="AQ35" i="1" s="1"/>
  <c r="AP31" i="1"/>
  <c r="AR31" i="1" s="1"/>
  <c r="AS31" i="1" s="1"/>
  <c r="AO31" i="1"/>
  <c r="AQ31" i="1" s="1"/>
  <c r="AP39" i="1"/>
  <c r="AR39" i="1" s="1"/>
  <c r="AS39" i="1" s="1"/>
  <c r="AO39" i="1"/>
  <c r="AQ39" i="1" s="1"/>
  <c r="AO52" i="1"/>
  <c r="AQ52" i="1" s="1"/>
  <c r="AP52" i="1"/>
  <c r="AR52" i="1" s="1"/>
  <c r="AS52" i="1" s="1"/>
  <c r="AP83" i="1"/>
  <c r="AR83" i="1" s="1"/>
  <c r="AS83" i="1" s="1"/>
  <c r="AO83" i="1"/>
  <c r="AQ83" i="1" s="1"/>
  <c r="Y62" i="1"/>
  <c r="X62" i="1"/>
  <c r="BC69" i="1"/>
  <c r="BD69" i="1"/>
  <c r="AP60" i="1"/>
  <c r="AR60" i="1" s="1"/>
  <c r="AS60" i="1" s="1"/>
  <c r="AO60" i="1"/>
  <c r="AQ60" i="1" s="1"/>
  <c r="Y40" i="1"/>
  <c r="X40" i="1"/>
  <c r="X67" i="1"/>
  <c r="Y67" i="1"/>
  <c r="AP33" i="1"/>
  <c r="AR33" i="1" s="1"/>
  <c r="AS33" i="1" s="1"/>
  <c r="AO33" i="1"/>
  <c r="AQ33" i="1" s="1"/>
  <c r="AO79" i="1"/>
  <c r="AQ79" i="1" s="1"/>
  <c r="AP79" i="1"/>
  <c r="AR79" i="1" s="1"/>
  <c r="AS79" i="1" s="1"/>
  <c r="Y58" i="1"/>
  <c r="X58" i="1"/>
  <c r="BD47" i="1"/>
  <c r="BC47" i="1"/>
  <c r="BJ75" i="1"/>
  <c r="BI75" i="1"/>
  <c r="BI34" i="1"/>
  <c r="BJ34" i="1"/>
  <c r="Y43" i="1"/>
  <c r="X43" i="1"/>
  <c r="Y60" i="1"/>
  <c r="X60" i="1"/>
  <c r="AO55" i="1"/>
  <c r="AQ55" i="1" s="1"/>
  <c r="AP55" i="1"/>
  <c r="AR55" i="1" s="1"/>
  <c r="AS55" i="1" s="1"/>
  <c r="Y80" i="1"/>
  <c r="X80" i="1"/>
  <c r="Y29" i="1"/>
  <c r="X29" i="1"/>
  <c r="Y28" i="1"/>
  <c r="X28" i="1"/>
  <c r="BD64" i="1"/>
  <c r="BC64" i="1"/>
  <c r="AO78" i="1"/>
  <c r="AQ78" i="1" s="1"/>
  <c r="AP78" i="1"/>
  <c r="AR78" i="1" s="1"/>
  <c r="AS78" i="1" s="1"/>
  <c r="Y75" i="1"/>
  <c r="X75" i="1"/>
  <c r="AP34" i="1"/>
  <c r="AR34" i="1" s="1"/>
  <c r="AS34" i="1" s="1"/>
  <c r="AO34" i="1"/>
  <c r="AQ34" i="1" s="1"/>
  <c r="AP85" i="1"/>
  <c r="AR85" i="1" s="1"/>
  <c r="AS85" i="1" s="1"/>
  <c r="AO85" i="1"/>
  <c r="AQ85" i="1" s="1"/>
  <c r="AO76" i="1"/>
  <c r="AQ76" i="1" s="1"/>
  <c r="AP76" i="1"/>
  <c r="AR76" i="1" s="1"/>
  <c r="AS76" i="1" s="1"/>
  <c r="AP44" i="1"/>
  <c r="AR44" i="1" s="1"/>
  <c r="AS44" i="1" s="1"/>
  <c r="AO44" i="1"/>
  <c r="AQ44" i="1" s="1"/>
  <c r="BD30" i="1"/>
  <c r="BC30" i="1"/>
  <c r="Y79" i="1"/>
  <c r="X79" i="1"/>
  <c r="X41" i="1"/>
  <c r="Y41" i="1"/>
  <c r="AO36" i="1"/>
  <c r="AQ36" i="1" s="1"/>
  <c r="AP36" i="1"/>
  <c r="AR36" i="1" s="1"/>
  <c r="AS36" i="1" s="1"/>
  <c r="Y71" i="1"/>
  <c r="X71" i="1"/>
  <c r="AW6" i="1"/>
  <c r="AO29" i="1"/>
  <c r="AQ29" i="1" s="1"/>
  <c r="AP29" i="1"/>
  <c r="AR29" i="1" s="1"/>
  <c r="AS29" i="1" s="1"/>
  <c r="Y53" i="1"/>
  <c r="X53" i="1"/>
  <c r="Y34" i="1"/>
  <c r="X34" i="1"/>
  <c r="Y85" i="1"/>
  <c r="X85" i="1"/>
  <c r="X31" i="1"/>
  <c r="Y31" i="1"/>
  <c r="AO65" i="1"/>
  <c r="AQ65" i="1" s="1"/>
  <c r="AP65" i="1"/>
  <c r="AR65" i="1" s="1"/>
  <c r="AS65" i="1" s="1"/>
  <c r="Y45" i="1"/>
  <c r="X45" i="1"/>
  <c r="BD73" i="1"/>
  <c r="BC73" i="1"/>
  <c r="BD50" i="1"/>
  <c r="BC50" i="1"/>
  <c r="BC35" i="1"/>
  <c r="BD35" i="1"/>
  <c r="BJ70" i="1"/>
  <c r="BI70" i="1"/>
  <c r="BJ57" i="1"/>
  <c r="BI57" i="1"/>
  <c r="AP27" i="1"/>
  <c r="AR27" i="1" s="1"/>
  <c r="AS27" i="1" s="1"/>
  <c r="AO27" i="1"/>
  <c r="AQ27" i="1" s="1"/>
  <c r="Y56" i="1"/>
  <c r="X56" i="1"/>
  <c r="Y42" i="1"/>
  <c r="X42" i="1"/>
  <c r="Y30" i="1"/>
  <c r="X30" i="1"/>
  <c r="Y52" i="1"/>
  <c r="X52" i="1"/>
  <c r="Y46" i="1"/>
  <c r="X46" i="1"/>
  <c r="AP77" i="1"/>
  <c r="AR77" i="1" s="1"/>
  <c r="AS77" i="1" s="1"/>
  <c r="AO77" i="1"/>
  <c r="AQ77" i="1" s="1"/>
  <c r="Y83" i="1"/>
  <c r="X83" i="1"/>
  <c r="BD82" i="1"/>
  <c r="BC82" i="1"/>
  <c r="AP61" i="1"/>
  <c r="AR61" i="1" s="1"/>
  <c r="AS61" i="1" s="1"/>
  <c r="AO61" i="1"/>
  <c r="AQ61" i="1" s="1"/>
  <c r="Y70" i="1"/>
  <c r="X70" i="1"/>
  <c r="Y68" i="1"/>
  <c r="X68" i="1"/>
  <c r="AO32" i="1"/>
  <c r="AQ32" i="1" s="1"/>
  <c r="AP32" i="1"/>
  <c r="AR32" i="1" s="1"/>
  <c r="AS32" i="1" s="1"/>
  <c r="AP59" i="1"/>
  <c r="AR59" i="1" s="1"/>
  <c r="AS59" i="1" s="1"/>
  <c r="AO59" i="1"/>
  <c r="AQ59" i="1" s="1"/>
  <c r="AP73" i="1"/>
  <c r="AR73" i="1" s="1"/>
  <c r="AS73" i="1" s="1"/>
  <c r="AO73" i="1"/>
  <c r="AQ73" i="1" s="1"/>
  <c r="AP30" i="1"/>
  <c r="AR30" i="1" s="1"/>
  <c r="AS30" i="1" s="1"/>
  <c r="AO30" i="1"/>
  <c r="AQ30" i="1" s="1"/>
  <c r="AO64" i="1"/>
  <c r="AQ64" i="1" s="1"/>
  <c r="AP64" i="1"/>
  <c r="AR64" i="1" s="1"/>
  <c r="AS64" i="1" s="1"/>
  <c r="AO49" i="1"/>
  <c r="AQ49" i="1" s="1"/>
  <c r="AP49" i="1"/>
  <c r="AR49" i="1" s="1"/>
  <c r="AS49" i="1" s="1"/>
  <c r="AP43" i="1"/>
  <c r="AR43" i="1" s="1"/>
  <c r="AS43" i="1" s="1"/>
  <c r="AO43" i="1"/>
  <c r="AQ43" i="1" s="1"/>
  <c r="AO75" i="1"/>
  <c r="AQ75" i="1" s="1"/>
  <c r="AP75" i="1"/>
  <c r="AR75" i="1" s="1"/>
  <c r="AS75" i="1" s="1"/>
  <c r="BD65" i="1"/>
  <c r="BC65" i="1"/>
  <c r="BD53" i="1"/>
  <c r="BC53" i="1"/>
  <c r="BD34" i="1"/>
  <c r="BC34" i="1"/>
  <c r="AP53" i="1"/>
  <c r="AR53" i="1" s="1"/>
  <c r="AS53" i="1" s="1"/>
  <c r="AO53" i="1"/>
  <c r="AQ53" i="1" s="1"/>
  <c r="X26" i="1"/>
  <c r="Y26" i="1"/>
  <c r="Y37" i="1"/>
  <c r="X37" i="1"/>
  <c r="Y81" i="1"/>
  <c r="X81" i="1"/>
  <c r="Y74" i="1"/>
  <c r="X74" i="1"/>
  <c r="Y84" i="1"/>
  <c r="X84" i="1"/>
  <c r="Y47" i="1"/>
  <c r="X47" i="1"/>
  <c r="Y36" i="1"/>
  <c r="X36" i="1"/>
  <c r="AP70" i="1"/>
  <c r="AR70" i="1" s="1"/>
  <c r="AS70" i="1" s="1"/>
  <c r="AO70" i="1"/>
  <c r="AQ70" i="1" s="1"/>
  <c r="BJ59" i="1"/>
  <c r="BI59" i="1"/>
  <c r="BD74" i="1"/>
  <c r="BC74" i="1"/>
  <c r="AO46" i="1"/>
  <c r="AQ46" i="1" s="1"/>
  <c r="AP46" i="1"/>
  <c r="AR46" i="1" s="1"/>
  <c r="AS46" i="1" s="1"/>
  <c r="BC42" i="1"/>
  <c r="BD42" i="1"/>
  <c r="BD36" i="1"/>
  <c r="BC36" i="1"/>
  <c r="AO68" i="1"/>
  <c r="AQ68" i="1" s="1"/>
  <c r="AP68" i="1"/>
  <c r="AR68" i="1" s="1"/>
  <c r="AS68" i="1" s="1"/>
  <c r="BI64" i="1"/>
  <c r="BJ64" i="1"/>
  <c r="BJ52" i="1"/>
  <c r="BI52" i="1"/>
  <c r="AP71" i="1"/>
  <c r="AR71" i="1" s="1"/>
  <c r="AS71" i="1" s="1"/>
  <c r="AO71" i="1"/>
  <c r="AQ71" i="1" s="1"/>
  <c r="Y57" i="1"/>
  <c r="X57" i="1"/>
  <c r="Y66" i="1"/>
  <c r="X66" i="1"/>
  <c r="Y33" i="1"/>
  <c r="X33" i="1"/>
  <c r="BD49" i="1"/>
  <c r="BC49" i="1"/>
  <c r="BD28" i="1"/>
  <c r="BC28" i="1"/>
  <c r="AP26" i="1"/>
  <c r="AR26" i="1" s="1"/>
  <c r="AS26" i="1" s="1"/>
  <c r="AO26" i="1"/>
  <c r="AQ26" i="1" s="1"/>
  <c r="X82" i="1"/>
  <c r="Y82" i="1"/>
  <c r="Y50" i="1"/>
  <c r="X50" i="1"/>
  <c r="AP40" i="1"/>
  <c r="AR40" i="1" s="1"/>
  <c r="AS40" i="1" s="1"/>
  <c r="AO40" i="1"/>
  <c r="AQ40" i="1" s="1"/>
  <c r="AO41" i="1"/>
  <c r="AQ41" i="1" s="1"/>
  <c r="AP41" i="1"/>
  <c r="AR41" i="1" s="1"/>
  <c r="AS41" i="1" s="1"/>
  <c r="AP57" i="1"/>
  <c r="AR57" i="1" s="1"/>
  <c r="AS57" i="1" s="1"/>
  <c r="AO57" i="1"/>
  <c r="AQ57" i="1" s="1"/>
  <c r="AP74" i="1"/>
  <c r="AR74" i="1" s="1"/>
  <c r="AS74" i="1" s="1"/>
  <c r="AO74" i="1"/>
  <c r="AQ74" i="1" s="1"/>
  <c r="AP56" i="1"/>
  <c r="AR56" i="1" s="1"/>
  <c r="AS56" i="1" s="1"/>
  <c r="AO56" i="1"/>
  <c r="AQ56" i="1" s="1"/>
  <c r="AP45" i="1"/>
  <c r="AR45" i="1" s="1"/>
  <c r="AS45" i="1" s="1"/>
  <c r="AO45" i="1"/>
  <c r="AQ45" i="1" s="1"/>
  <c r="AO81" i="1"/>
  <c r="AQ81" i="1" s="1"/>
  <c r="AP81" i="1"/>
  <c r="AR81" i="1" s="1"/>
  <c r="AS81" i="1" s="1"/>
  <c r="BD45" i="1"/>
  <c r="BC45" i="1"/>
  <c r="BC51" i="1"/>
  <c r="BD51" i="1"/>
  <c r="AP80" i="1"/>
  <c r="AR80" i="1" s="1"/>
  <c r="AS80" i="1" s="1"/>
  <c r="AO80" i="1"/>
  <c r="AQ80" i="1" s="1"/>
  <c r="Y55" i="1"/>
  <c r="X55" i="1"/>
  <c r="X59" i="1"/>
  <c r="Y59" i="1"/>
  <c r="AP48" i="1"/>
  <c r="AR48" i="1" s="1"/>
  <c r="AS48" i="1" s="1"/>
  <c r="AO48" i="1"/>
  <c r="AQ48" i="1" s="1"/>
  <c r="AP72" i="1"/>
  <c r="AR72" i="1" s="1"/>
  <c r="AS72" i="1" s="1"/>
  <c r="AO72" i="1"/>
  <c r="AQ72" i="1" s="1"/>
  <c r="AO37" i="1"/>
  <c r="AQ37" i="1" s="1"/>
  <c r="AP37" i="1"/>
  <c r="AR37" i="1" s="1"/>
  <c r="AS37" i="1" s="1"/>
  <c r="Y39" i="1"/>
  <c r="X39" i="1"/>
  <c r="Y78" i="1"/>
  <c r="X78" i="1"/>
  <c r="BB6" i="1"/>
  <c r="AO66" i="1"/>
  <c r="AQ66" i="1" s="1"/>
  <c r="AP66" i="1"/>
  <c r="AR66" i="1" s="1"/>
  <c r="AS66" i="1" s="1"/>
  <c r="AP38" i="1"/>
  <c r="AR38" i="1" s="1"/>
  <c r="AS38" i="1" s="1"/>
  <c r="AO38" i="1"/>
  <c r="AQ38" i="1" s="1"/>
  <c r="AA27" i="1" l="1"/>
  <c r="Z27" i="1"/>
  <c r="AA50" i="1"/>
  <c r="Z50" i="1"/>
  <c r="AA66" i="1"/>
  <c r="Z66" i="1"/>
  <c r="AA36" i="1"/>
  <c r="Z36" i="1"/>
  <c r="AA74" i="1"/>
  <c r="Z74" i="1"/>
  <c r="AA45" i="1"/>
  <c r="Z45" i="1"/>
  <c r="AA85" i="1"/>
  <c r="Z85" i="1"/>
  <c r="AA69" i="1"/>
  <c r="Z69" i="1"/>
  <c r="AA49" i="1"/>
  <c r="Z49" i="1"/>
  <c r="AA29" i="1"/>
  <c r="Z29" i="1"/>
  <c r="Z63" i="1"/>
  <c r="AA63" i="1"/>
  <c r="AA59" i="1"/>
  <c r="Z59" i="1"/>
  <c r="Z26" i="1"/>
  <c r="AA26" i="1"/>
  <c r="AA80" i="1"/>
  <c r="Z80" i="1"/>
  <c r="Z43" i="1"/>
  <c r="AA43" i="1"/>
  <c r="AA38" i="1"/>
  <c r="Z38" i="1"/>
  <c r="AA72" i="1"/>
  <c r="Z72" i="1"/>
  <c r="AA35" i="1"/>
  <c r="Z35" i="1"/>
  <c r="AA51" i="1"/>
  <c r="Z51" i="1"/>
  <c r="AA62" i="1"/>
  <c r="Z62" i="1"/>
  <c r="Z65" i="1"/>
  <c r="AA65" i="1"/>
  <c r="Z78" i="1"/>
  <c r="AA78" i="1"/>
  <c r="Z55" i="1"/>
  <c r="AA55" i="1"/>
  <c r="AA57" i="1"/>
  <c r="Z57" i="1"/>
  <c r="AA47" i="1"/>
  <c r="Z47" i="1"/>
  <c r="AA81" i="1"/>
  <c r="Z81" i="1"/>
  <c r="Z68" i="1"/>
  <c r="AA68" i="1"/>
  <c r="Z46" i="1"/>
  <c r="AA46" i="1"/>
  <c r="AA42" i="1"/>
  <c r="Z42" i="1"/>
  <c r="Z34" i="1"/>
  <c r="AA34" i="1"/>
  <c r="AA41" i="1"/>
  <c r="Z41" i="1"/>
  <c r="AA61" i="1"/>
  <c r="Z61" i="1"/>
  <c r="AA31" i="1"/>
  <c r="Z31" i="1"/>
  <c r="AA40" i="1"/>
  <c r="Z40" i="1"/>
  <c r="Z30" i="1"/>
  <c r="AA30" i="1"/>
  <c r="AA82" i="1"/>
  <c r="Z82" i="1"/>
  <c r="Z71" i="1"/>
  <c r="AA71" i="1"/>
  <c r="AA79" i="1"/>
  <c r="Z79" i="1"/>
  <c r="AA75" i="1"/>
  <c r="Z75" i="1"/>
  <c r="Z28" i="1"/>
  <c r="AA28" i="1"/>
  <c r="AA58" i="1"/>
  <c r="Z58" i="1"/>
  <c r="AA73" i="1"/>
  <c r="Z73" i="1"/>
  <c r="AA64" i="1"/>
  <c r="Z64" i="1"/>
  <c r="Z48" i="1"/>
  <c r="AA48" i="1"/>
  <c r="AA77" i="1"/>
  <c r="Z77" i="1"/>
  <c r="AA60" i="1"/>
  <c r="Z60" i="1"/>
  <c r="AA44" i="1"/>
  <c r="Z44" i="1"/>
  <c r="Z39" i="1"/>
  <c r="AA39" i="1"/>
  <c r="AA33" i="1"/>
  <c r="Z33" i="1"/>
  <c r="Z84" i="1"/>
  <c r="AA84" i="1"/>
  <c r="AA37" i="1"/>
  <c r="Z37" i="1"/>
  <c r="AA70" i="1"/>
  <c r="Z70" i="1"/>
  <c r="AA83" i="1"/>
  <c r="Z83" i="1"/>
  <c r="AA52" i="1"/>
  <c r="Z52" i="1"/>
  <c r="Z56" i="1"/>
  <c r="AA56" i="1"/>
  <c r="Z53" i="1"/>
  <c r="AA53" i="1"/>
  <c r="AA67" i="1"/>
  <c r="Z67" i="1"/>
  <c r="AA76" i="1"/>
  <c r="Z76" i="1"/>
  <c r="Z32" i="1"/>
  <c r="AA32" i="1"/>
  <c r="AA54" i="1"/>
  <c r="Z54" i="1"/>
</calcChain>
</file>

<file path=xl/sharedStrings.xml><?xml version="1.0" encoding="utf-8"?>
<sst xmlns="http://schemas.openxmlformats.org/spreadsheetml/2006/main" count="231" uniqueCount="122">
  <si>
    <t>General parameters</t>
  </si>
  <si>
    <t>(Ca) fluid</t>
  </si>
  <si>
    <t>(Ca) solide</t>
  </si>
  <si>
    <t>44Ca/40Ca (fluid)</t>
  </si>
  <si>
    <t>44Ca/40Ca (solid)</t>
  </si>
  <si>
    <t>d44Ca (fluid)</t>
  </si>
  <si>
    <t>d44Ca (solid)</t>
  </si>
  <si>
    <t>(Li) fluid</t>
  </si>
  <si>
    <t>(Li) solide</t>
  </si>
  <si>
    <t xml:space="preserve">(Li/Ca) dis </t>
  </si>
  <si>
    <t xml:space="preserve">(Li/Ca) carb </t>
  </si>
  <si>
    <t>7Li/6Li fluid</t>
  </si>
  <si>
    <t>7Li/6Li carb</t>
  </si>
  <si>
    <t>d7Li (fluid)</t>
  </si>
  <si>
    <t>d7Li solid</t>
  </si>
  <si>
    <t>(O) fluid</t>
  </si>
  <si>
    <t>(O) solid</t>
  </si>
  <si>
    <t>r fluid</t>
  </si>
  <si>
    <t>r solid</t>
  </si>
  <si>
    <t xml:space="preserve">d18O fluid </t>
  </si>
  <si>
    <t xml:space="preserve">d18O carb </t>
  </si>
  <si>
    <t>(C) fluid</t>
  </si>
  <si>
    <t>(C) solid</t>
  </si>
  <si>
    <t>13C/12C fluid</t>
  </si>
  <si>
    <t>13C/12C carb</t>
  </si>
  <si>
    <t>d13C fluid</t>
  </si>
  <si>
    <t xml:space="preserve">d13C carb </t>
  </si>
  <si>
    <t>(Sr) fluid</t>
  </si>
  <si>
    <t>(Sr) solide</t>
  </si>
  <si>
    <t>(Sr/Ca) fluid</t>
  </si>
  <si>
    <t xml:space="preserve">(Sr/Ca) carb </t>
  </si>
  <si>
    <t>(Mg) fluid</t>
  </si>
  <si>
    <t>(Mg) solide</t>
  </si>
  <si>
    <t>(Mg/Ca) dis</t>
  </si>
  <si>
    <t xml:space="preserve">(Mg/Ca) carb </t>
  </si>
  <si>
    <t>(B) fluid</t>
  </si>
  <si>
    <t>(B) solide</t>
  </si>
  <si>
    <t>(B/Ca) dis</t>
  </si>
  <si>
    <t xml:space="preserve">(B/Ca) carb </t>
  </si>
  <si>
    <t>Advection rate (V)</t>
  </si>
  <si>
    <t>m/year</t>
  </si>
  <si>
    <t>m prim</t>
  </si>
  <si>
    <t>ppm</t>
  </si>
  <si>
    <t>‰</t>
  </si>
  <si>
    <t>μmol/mol</t>
  </si>
  <si>
    <t>Reaction rate (R)</t>
  </si>
  <si>
    <t>Year-1</t>
  </si>
  <si>
    <t>m diag</t>
  </si>
  <si>
    <t>PDB</t>
  </si>
  <si>
    <t>Porosity</t>
  </si>
  <si>
    <t>Initial</t>
  </si>
  <si>
    <t>Rock/fluid ratio</t>
  </si>
  <si>
    <t>Fluid-buffered composition</t>
  </si>
  <si>
    <t>Temperature</t>
  </si>
  <si>
    <t>°C</t>
  </si>
  <si>
    <t>Sediment-buffered composition</t>
  </si>
  <si>
    <t>Tortuosity</t>
  </si>
  <si>
    <t>Kd</t>
  </si>
  <si>
    <t>Time</t>
  </si>
  <si>
    <t>K</t>
  </si>
  <si>
    <t>WR</t>
  </si>
  <si>
    <t>Diffusion coefficient</t>
  </si>
  <si>
    <t>cm-2.s-1</t>
  </si>
  <si>
    <t>m2/year</t>
  </si>
  <si>
    <t>V/R</t>
  </si>
  <si>
    <t>L (reactive length scale)</t>
  </si>
  <si>
    <t>La (advective lenngth scale)</t>
  </si>
  <si>
    <t>Ld (diffusion length scale)</t>
  </si>
  <si>
    <t>Molar mass</t>
  </si>
  <si>
    <t>r std (reference isotope ratio)</t>
  </si>
  <si>
    <t>α prec (precipitation fractionation factor)</t>
  </si>
  <si>
    <t>Δ prec (‰)</t>
  </si>
  <si>
    <t>α diff (diffusion fractionation factor)</t>
  </si>
  <si>
    <t>Δ diff (‰)</t>
  </si>
  <si>
    <t xml:space="preserve">L' (reactive length scale of the specific isotope) </t>
  </si>
  <si>
    <t xml:space="preserve">La' (advective length scale of the specific isotope) </t>
  </si>
  <si>
    <t xml:space="preserve">Ld' (diffusion length scale of the specific isotope) </t>
  </si>
  <si>
    <t>m0</t>
  </si>
  <si>
    <t>m1</t>
  </si>
  <si>
    <t>Depth (z)</t>
  </si>
  <si>
    <t>EQ dCa</t>
  </si>
  <si>
    <t>EQ Li</t>
  </si>
  <si>
    <t>dEQ Li</t>
  </si>
  <si>
    <t>EQ O</t>
  </si>
  <si>
    <t>18O/16O fluid</t>
  </si>
  <si>
    <t>18O/16O solid</t>
  </si>
  <si>
    <t>dEQ O</t>
  </si>
  <si>
    <t>EQ C</t>
  </si>
  <si>
    <t>dEQ C</t>
  </si>
  <si>
    <t>EQ Sr</t>
  </si>
  <si>
    <t>EQ Mg</t>
  </si>
  <si>
    <t>EQ B</t>
  </si>
  <si>
    <t>Parameters</t>
  </si>
  <si>
    <t>Unit</t>
  </si>
  <si>
    <t>Ref</t>
  </si>
  <si>
    <t>Fluid-buffered</t>
  </si>
  <si>
    <t>Sediment-buffered</t>
  </si>
  <si>
    <t>Gaillardet et al., (2018)</t>
  </si>
  <si>
    <t>-</t>
  </si>
  <si>
    <t>δ44Ca (fluid)</t>
  </si>
  <si>
    <t>Fantle and Tipper (2014)</t>
  </si>
  <si>
    <t>δ44Ca (solid)</t>
  </si>
  <si>
    <t>Ahm et al., (2018)</t>
  </si>
  <si>
    <t>This study</t>
  </si>
  <si>
    <t>δ7Li (fluid)</t>
  </si>
  <si>
    <t>δ7Li solid</t>
  </si>
  <si>
    <t xml:space="preserve">δ18O fluid </t>
  </si>
  <si>
    <t>Chen et al., (2018)</t>
  </si>
  <si>
    <t xml:space="preserve">δ18O carb </t>
  </si>
  <si>
    <t>Swart et al., (2009)</t>
  </si>
  <si>
    <t>δ13C fluid</t>
  </si>
  <si>
    <t xml:space="preserve">δ13C carb </t>
  </si>
  <si>
    <t>Smart and Whitaker (2007), Banner and Hanson (1990)</t>
  </si>
  <si>
    <t>(Sr) solid</t>
  </si>
  <si>
    <t>Zhang et al., (2017)</t>
  </si>
  <si>
    <t>mmol/mol</t>
  </si>
  <si>
    <t>(Mg) solid</t>
  </si>
  <si>
    <t>mol/mol</t>
  </si>
  <si>
    <t>Gaillardet et al., (2014)</t>
  </si>
  <si>
    <t>Stewart et al., (2005)</t>
  </si>
  <si>
    <t>All the the diffusion coefficients "D" (in cm2.s-1) are calculated using equation and m0, m1 values</t>
  </si>
  <si>
    <t>from Boudreau (table 4.7, Boudreau 1997)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</si>
</sst>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0.0"/>
    <numFmt numFmtId="165" formatCode="0.000"/>
    <numFmt numFmtId="166" formatCode="0.00000"/>
    <numFmt numFmtId="167" formatCode="0E+00"/>
    <numFmt numFmtId="168" formatCode="0.0000"/>
    <numFmt numFmtId="169" formatCode="0.0E+00"/>
    <numFmt numFmtId="170" formatCode="0.000000"/>
  </numFmts>
  <fonts count="7" x14ac:knownFonts="1">
    <font>
      <sz val="12"/>
      <color theme="1"/>
      <name val="Calibri"/>
      <family val="2"/>
      <scheme val="minor"/>
    </font>
    <font>
      <sz val="11"/>
      <color theme="1"/>
      <name val="Helvetica"/>
    </font>
    <font>
      <sz val="12"/>
      <color theme="1"/>
      <name val="Helvetica"/>
    </font>
    <font>
      <sz val="12"/>
      <color rgb="FF000000"/>
      <name val="Calibri"/>
      <family val="2"/>
      <scheme val="minor"/>
    </font>
    <font>
      <sz val="12"/>
      <name val="Helvetica"/>
    </font>
    <font>
      <sz val="11"/>
      <color rgb="FF000000"/>
      <name val="Helvetica"/>
    </font>
    <font>
      <sz val="12"/>
      <color rgb="FF000000"/>
      <name val="Helvetica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2" borderId="0" xfId="0" applyFill="1"/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2" xfId="0" applyBorder="1" applyAlignment="1">
      <alignment horizontal="left" vertical="center"/>
    </xf>
    <xf numFmtId="0" fontId="0" fillId="0" borderId="2" xfId="0" applyBorder="1"/>
    <xf numFmtId="165" fontId="0" fillId="0" borderId="3" xfId="0" applyNumberFormat="1" applyBorder="1"/>
    <xf numFmtId="0" fontId="3" fillId="0" borderId="0" xfId="0" applyFont="1" applyAlignment="1">
      <alignment horizontal="center"/>
    </xf>
    <xf numFmtId="0" fontId="3" fillId="0" borderId="0" xfId="0" applyFont="1"/>
    <xf numFmtId="164" fontId="0" fillId="0" borderId="0" xfId="0" applyNumberFormat="1"/>
    <xf numFmtId="11" fontId="0" fillId="0" borderId="2" xfId="0" applyNumberFormat="1" applyBorder="1" applyAlignment="1">
      <alignment horizontal="center" vertical="center" wrapText="1"/>
    </xf>
    <xf numFmtId="165" fontId="0" fillId="0" borderId="0" xfId="0" applyNumberFormat="1"/>
    <xf numFmtId="11" fontId="0" fillId="0" borderId="0" xfId="0" applyNumberFormat="1" applyAlignment="1">
      <alignment horizontal="center" vertical="center" wrapText="1"/>
    </xf>
    <xf numFmtId="2" fontId="0" fillId="0" borderId="2" xfId="0" applyNumberFormat="1" applyBorder="1"/>
    <xf numFmtId="1" fontId="0" fillId="0" borderId="2" xfId="0" applyNumberFormat="1" applyBorder="1" applyAlignment="1">
      <alignment horizontal="center"/>
    </xf>
    <xf numFmtId="1" fontId="0" fillId="0" borderId="2" xfId="0" applyNumberFormat="1" applyBorder="1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166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165" fontId="0" fillId="0" borderId="2" xfId="0" applyNumberFormat="1" applyBorder="1" applyAlignment="1">
      <alignment horizontal="center"/>
    </xf>
    <xf numFmtId="2" fontId="0" fillId="0" borderId="2" xfId="0" applyNumberFormat="1" applyBorder="1" applyAlignment="1">
      <alignment horizontal="center"/>
    </xf>
    <xf numFmtId="164" fontId="0" fillId="0" borderId="0" xfId="0" applyNumberFormat="1" applyAlignment="1">
      <alignment horizontal="center"/>
    </xf>
    <xf numFmtId="2" fontId="0" fillId="0" borderId="2" xfId="0" applyNumberFormat="1" applyBorder="1" applyAlignment="1">
      <alignment horizontal="center" vertical="center" wrapText="1"/>
    </xf>
    <xf numFmtId="1" fontId="0" fillId="0" borderId="0" xfId="0" applyNumberFormat="1" applyAlignment="1">
      <alignment horizontal="center"/>
    </xf>
    <xf numFmtId="0" fontId="0" fillId="0" borderId="2" xfId="0" applyBorder="1" applyAlignment="1">
      <alignment horizontal="center" vertical="center"/>
    </xf>
    <xf numFmtId="2" fontId="0" fillId="0" borderId="0" xfId="0" applyNumberFormat="1" applyAlignment="1">
      <alignment horizontal="center" vertical="center" wrapText="1"/>
    </xf>
    <xf numFmtId="165" fontId="0" fillId="0" borderId="2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center"/>
    </xf>
    <xf numFmtId="2" fontId="0" fillId="0" borderId="0" xfId="0" applyNumberFormat="1" applyAlignment="1">
      <alignment horizontal="center"/>
    </xf>
    <xf numFmtId="167" fontId="0" fillId="0" borderId="2" xfId="0" applyNumberFormat="1" applyBorder="1" applyAlignment="1">
      <alignment horizontal="center"/>
    </xf>
    <xf numFmtId="2" fontId="0" fillId="0" borderId="2" xfId="0" applyNumberFormat="1" applyBorder="1" applyAlignment="1">
      <alignment horizontal="center"/>
    </xf>
    <xf numFmtId="165" fontId="0" fillId="0" borderId="2" xfId="0" applyNumberFormat="1" applyBorder="1" applyAlignment="1">
      <alignment horizontal="center"/>
    </xf>
    <xf numFmtId="2" fontId="0" fillId="0" borderId="0" xfId="0" applyNumberFormat="1"/>
    <xf numFmtId="2" fontId="0" fillId="2" borderId="0" xfId="0" applyNumberFormat="1" applyFill="1"/>
    <xf numFmtId="168" fontId="0" fillId="0" borderId="2" xfId="0" applyNumberFormat="1" applyBorder="1" applyAlignment="1">
      <alignment horizontal="center"/>
    </xf>
    <xf numFmtId="169" fontId="0" fillId="0" borderId="2" xfId="0" applyNumberFormat="1" applyBorder="1" applyAlignment="1">
      <alignment horizontal="center"/>
    </xf>
    <xf numFmtId="165" fontId="0" fillId="0" borderId="0" xfId="0" applyNumberFormat="1" applyAlignment="1">
      <alignment horizontal="center" vertical="center"/>
    </xf>
    <xf numFmtId="1" fontId="0" fillId="0" borderId="2" xfId="0" applyNumberFormat="1" applyBorder="1"/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3" xfId="0" applyBorder="1" applyAlignment="1">
      <alignment horizontal="center"/>
    </xf>
    <xf numFmtId="169" fontId="0" fillId="0" borderId="2" xfId="0" applyNumberFormat="1" applyBorder="1" applyAlignment="1">
      <alignment horizontal="center" vertical="center"/>
    </xf>
    <xf numFmtId="169" fontId="0" fillId="0" borderId="0" xfId="0" applyNumberFormat="1" applyAlignment="1">
      <alignment horizontal="center"/>
    </xf>
    <xf numFmtId="11" fontId="0" fillId="0" borderId="2" xfId="0" applyNumberFormat="1" applyBorder="1" applyAlignment="1">
      <alignment horizontal="center"/>
    </xf>
    <xf numFmtId="169" fontId="0" fillId="0" borderId="0" xfId="0" applyNumberFormat="1" applyAlignment="1">
      <alignment horizontal="center" vertical="center"/>
    </xf>
    <xf numFmtId="11" fontId="0" fillId="0" borderId="2" xfId="0" applyNumberFormat="1" applyBorder="1"/>
    <xf numFmtId="11" fontId="0" fillId="0" borderId="0" xfId="0" applyNumberFormat="1"/>
    <xf numFmtId="0" fontId="0" fillId="0" borderId="0" xfId="0" applyAlignment="1">
      <alignment vertical="center"/>
    </xf>
    <xf numFmtId="0" fontId="0" fillId="0" borderId="0" xfId="0" applyAlignment="1">
      <alignment horizontal="left" vertical="center" wrapText="1"/>
    </xf>
    <xf numFmtId="170" fontId="0" fillId="0" borderId="2" xfId="0" applyNumberFormat="1" applyBorder="1" applyAlignment="1">
      <alignment horizontal="center"/>
    </xf>
    <xf numFmtId="166" fontId="0" fillId="0" borderId="2" xfId="0" applyNumberFormat="1" applyBorder="1" applyAlignment="1">
      <alignment horizontal="center"/>
    </xf>
    <xf numFmtId="165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165" fontId="0" fillId="2" borderId="0" xfId="0" applyNumberFormat="1" applyFill="1"/>
    <xf numFmtId="165" fontId="0" fillId="0" borderId="0" xfId="0" applyNumberFormat="1" applyAlignment="1">
      <alignment horizontal="center"/>
    </xf>
    <xf numFmtId="0" fontId="0" fillId="0" borderId="0" xfId="0" applyAlignment="1">
      <alignment wrapText="1"/>
    </xf>
    <xf numFmtId="164" fontId="0" fillId="0" borderId="2" xfId="0" applyNumberFormat="1" applyBorder="1" applyAlignment="1">
      <alignment horizontal="center" wrapText="1"/>
    </xf>
    <xf numFmtId="164" fontId="0" fillId="0" borderId="3" xfId="0" applyNumberFormat="1" applyBorder="1" applyAlignment="1">
      <alignment horizontal="center"/>
    </xf>
    <xf numFmtId="164" fontId="0" fillId="0" borderId="0" xfId="0" applyNumberFormat="1" applyAlignment="1">
      <alignment horizontal="center"/>
    </xf>
    <xf numFmtId="11" fontId="0" fillId="0" borderId="0" xfId="0" applyNumberFormat="1" applyAlignment="1">
      <alignment horizontal="center"/>
    </xf>
    <xf numFmtId="0" fontId="0" fillId="0" borderId="6" xfId="0" applyBorder="1"/>
    <xf numFmtId="0" fontId="0" fillId="0" borderId="6" xfId="0" applyBorder="1" applyAlignment="1">
      <alignment horizontal="center"/>
    </xf>
    <xf numFmtId="1" fontId="0" fillId="0" borderId="0" xfId="0" applyNumberFormat="1"/>
    <xf numFmtId="0" fontId="4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0" fillId="0" borderId="7" xfId="0" applyBorder="1"/>
    <xf numFmtId="0" fontId="0" fillId="0" borderId="7" xfId="0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164" fontId="0" fillId="0" borderId="7" xfId="0" applyNumberFormat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165" fontId="0" fillId="0" borderId="0" xfId="0" applyNumberFormat="1" applyAlignment="1">
      <alignment horizontal="center" vertical="center" wrapText="1"/>
    </xf>
    <xf numFmtId="2" fontId="2" fillId="0" borderId="0" xfId="0" applyNumberFormat="1" applyFont="1" applyAlignment="1">
      <alignment horizontal="center"/>
    </xf>
    <xf numFmtId="1" fontId="2" fillId="0" borderId="0" xfId="0" applyNumberFormat="1" applyFont="1" applyAlignment="1">
      <alignment horizontal="center"/>
    </xf>
    <xf numFmtId="166" fontId="0" fillId="0" borderId="0" xfId="0" applyNumberFormat="1"/>
    <xf numFmtId="165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2" fontId="0" fillId="2" borderId="0" xfId="0" applyNumberFormat="1" applyFill="1" applyAlignment="1">
      <alignment horizontal="center"/>
    </xf>
    <xf numFmtId="168" fontId="0" fillId="0" borderId="0" xfId="0" applyNumberFormat="1"/>
    <xf numFmtId="0" fontId="3" fillId="0" borderId="7" xfId="0" applyFont="1" applyBorder="1" applyAlignment="1">
      <alignment horizontal="center" vertical="center" wrapText="1"/>
    </xf>
    <xf numFmtId="2" fontId="3" fillId="0" borderId="7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1" fontId="3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left"/>
    </xf>
    <xf numFmtId="1" fontId="3" fillId="0" borderId="0" xfId="0" applyNumberFormat="1" applyFont="1" applyAlignment="1">
      <alignment horizontal="center" vertical="center"/>
    </xf>
    <xf numFmtId="1" fontId="3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2" fontId="3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1" fontId="3" fillId="0" borderId="1" xfId="0" applyNumberFormat="1" applyFont="1" applyBorder="1" applyAlignment="1">
      <alignment horizontal="left"/>
    </xf>
    <xf numFmtId="2" fontId="3" fillId="0" borderId="1" xfId="0" applyNumberFormat="1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165" fontId="3" fillId="0" borderId="0" xfId="0" applyNumberFormat="1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  <xf numFmtId="0" fontId="6" fillId="0" borderId="0" xfId="0" applyFont="1" applyAlignment="1">
      <alignment horizontal="center" vertical="center" wrapText="1"/>
    </xf>
    <xf numFmtId="1" fontId="3" fillId="0" borderId="4" xfId="0" applyNumberFormat="1" applyFont="1" applyBorder="1" applyAlignment="1">
      <alignment horizontal="center"/>
    </xf>
    <xf numFmtId="165" fontId="3" fillId="0" borderId="0" xfId="0" applyNumberFormat="1" applyFont="1" applyAlignment="1">
      <alignment horizontal="left"/>
    </xf>
    <xf numFmtId="0" fontId="3" fillId="0" borderId="1" xfId="0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/>
    </xf>
    <xf numFmtId="164" fontId="3" fillId="0" borderId="0" xfId="0" applyNumberFormat="1" applyFont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1"/>
          <c:order val="0"/>
          <c:spPr>
            <a:ln w="317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'S2 Meteoric Diagenesis'!$H$26:$H$85</c:f>
              <c:numCache>
                <c:formatCode>0.000</c:formatCode>
                <c:ptCount val="60"/>
                <c:pt idx="0" formatCode="0.00">
                  <c:v>0</c:v>
                </c:pt>
                <c:pt idx="1">
                  <c:v>1.001001001001E-5</c:v>
                </c:pt>
                <c:pt idx="2" formatCode="0.00">
                  <c:v>1.0101010101010102E-2</c:v>
                </c:pt>
                <c:pt idx="3" formatCode="0.00">
                  <c:v>3.1111111111110999E-2</c:v>
                </c:pt>
                <c:pt idx="4" formatCode="0.00">
                  <c:v>0.06</c:v>
                </c:pt>
                <c:pt idx="5" formatCode="0.00">
                  <c:v>9.6363636363635999E-2</c:v>
                </c:pt>
                <c:pt idx="6" formatCode="0.00">
                  <c:v>0.14942528735632185</c:v>
                </c:pt>
                <c:pt idx="7" formatCode="0.00">
                  <c:v>0.16279069767441862</c:v>
                </c:pt>
                <c:pt idx="8" formatCode="0.00">
                  <c:v>0.25</c:v>
                </c:pt>
                <c:pt idx="9" formatCode="0.00">
                  <c:v>0.3</c:v>
                </c:pt>
                <c:pt idx="10" formatCode="0.00">
                  <c:v>0.5</c:v>
                </c:pt>
                <c:pt idx="11" formatCode="0.00">
                  <c:v>0.7</c:v>
                </c:pt>
                <c:pt idx="12" formatCode="0.00">
                  <c:v>0.8</c:v>
                </c:pt>
                <c:pt idx="13" formatCode="0">
                  <c:v>1</c:v>
                </c:pt>
                <c:pt idx="14" formatCode="0">
                  <c:v>2</c:v>
                </c:pt>
                <c:pt idx="15" formatCode="0">
                  <c:v>3</c:v>
                </c:pt>
                <c:pt idx="16" formatCode="0">
                  <c:v>4</c:v>
                </c:pt>
                <c:pt idx="17" formatCode="0">
                  <c:v>5</c:v>
                </c:pt>
                <c:pt idx="18" formatCode="0">
                  <c:v>7</c:v>
                </c:pt>
                <c:pt idx="19" formatCode="0">
                  <c:v>9</c:v>
                </c:pt>
                <c:pt idx="20" formatCode="0">
                  <c:v>12</c:v>
                </c:pt>
                <c:pt idx="21" formatCode="0">
                  <c:v>15</c:v>
                </c:pt>
                <c:pt idx="22" formatCode="0">
                  <c:v>18.999999999999982</c:v>
                </c:pt>
                <c:pt idx="23" formatCode="0">
                  <c:v>23.999999999999979</c:v>
                </c:pt>
                <c:pt idx="24" formatCode="0">
                  <c:v>32.3333333333333</c:v>
                </c:pt>
                <c:pt idx="25" formatCode="0">
                  <c:v>48.999999999999957</c:v>
                </c:pt>
                <c:pt idx="26" formatCode="0">
                  <c:v>54.555555555555507</c:v>
                </c:pt>
                <c:pt idx="27" formatCode="0">
                  <c:v>61.499999999999943</c:v>
                </c:pt>
                <c:pt idx="28" formatCode="0">
                  <c:v>70.42857142857136</c:v>
                </c:pt>
                <c:pt idx="29" formatCode="0">
                  <c:v>82.333333333333258</c:v>
                </c:pt>
                <c:pt idx="30" formatCode="0">
                  <c:v>98.999999999999915</c:v>
                </c:pt>
                <c:pt idx="31" formatCode="0">
                  <c:v>123.99999999999989</c:v>
                </c:pt>
                <c:pt idx="32" formatCode="0">
                  <c:v>165.66666666666652</c:v>
                </c:pt>
                <c:pt idx="33" formatCode="0">
                  <c:v>221.22222222222476</c:v>
                </c:pt>
                <c:pt idx="34" formatCode="0">
                  <c:v>321.58064516129122</c:v>
                </c:pt>
                <c:pt idx="35" formatCode="0">
                  <c:v>415.66666666667402</c:v>
                </c:pt>
                <c:pt idx="36" formatCode="0">
                  <c:v>475.19047619047831</c:v>
                </c:pt>
                <c:pt idx="37" formatCode="0">
                  <c:v>554.55555555554815</c:v>
                </c:pt>
                <c:pt idx="38" formatCode="0">
                  <c:v>665.66666666669073</c:v>
                </c:pt>
                <c:pt idx="39" formatCode="0">
                  <c:v>832.33333333334804</c:v>
                </c:pt>
                <c:pt idx="40" formatCode="0">
                  <c:v>1110.1111111110963</c:v>
                </c:pt>
                <c:pt idx="41" formatCode="0">
                  <c:v>1665.6666666665419</c:v>
                </c:pt>
                <c:pt idx="42" formatCode="0">
                  <c:v>2856.142857143172</c:v>
                </c:pt>
                <c:pt idx="43" formatCode="0">
                  <c:v>4999.0000000005502</c:v>
                </c:pt>
                <c:pt idx="44" formatCode="0">
                  <c:v>9999.0000000011005</c:v>
                </c:pt>
                <c:pt idx="45" formatCode="0">
                  <c:v>15000</c:v>
                </c:pt>
                <c:pt idx="46" formatCode="0">
                  <c:v>30000</c:v>
                </c:pt>
                <c:pt idx="47" formatCode="0">
                  <c:v>45000</c:v>
                </c:pt>
                <c:pt idx="48" formatCode="0">
                  <c:v>60000</c:v>
                </c:pt>
                <c:pt idx="49" formatCode="0">
                  <c:v>75000</c:v>
                </c:pt>
                <c:pt idx="50" formatCode="0">
                  <c:v>90000</c:v>
                </c:pt>
                <c:pt idx="51" formatCode="0">
                  <c:v>105000</c:v>
                </c:pt>
                <c:pt idx="52" formatCode="0">
                  <c:v>120000</c:v>
                </c:pt>
                <c:pt idx="53" formatCode="0">
                  <c:v>135000</c:v>
                </c:pt>
                <c:pt idx="54" formatCode="0">
                  <c:v>200000</c:v>
                </c:pt>
                <c:pt idx="55" formatCode="0">
                  <c:v>300000</c:v>
                </c:pt>
                <c:pt idx="56" formatCode="0">
                  <c:v>400000</c:v>
                </c:pt>
                <c:pt idx="57" formatCode="0">
                  <c:v>500000</c:v>
                </c:pt>
                <c:pt idx="58" formatCode="0">
                  <c:v>600000</c:v>
                </c:pt>
                <c:pt idx="59" formatCode="0">
                  <c:v>700000</c:v>
                </c:pt>
              </c:numCache>
            </c:numRef>
          </c:xVal>
          <c:yVal>
            <c:numRef>
              <c:f>'S2 Meteoric Diagenesis'!$P$26:$P$85</c:f>
              <c:numCache>
                <c:formatCode>0.00</c:formatCode>
                <c:ptCount val="60"/>
                <c:pt idx="0">
                  <c:v>0.99999999999999856</c:v>
                </c:pt>
                <c:pt idx="1">
                  <c:v>0.999961397704624</c:v>
                </c:pt>
                <c:pt idx="2">
                  <c:v>0.96178097563418563</c:v>
                </c:pt>
                <c:pt idx="3">
                  <c:v>0.88682037199364983</c:v>
                </c:pt>
                <c:pt idx="4">
                  <c:v>0.793049373729379</c:v>
                </c:pt>
                <c:pt idx="5">
                  <c:v>0.6887934306283825</c:v>
                </c:pt>
                <c:pt idx="6">
                  <c:v>0.56048916901158385</c:v>
                </c:pt>
                <c:pt idx="7">
                  <c:v>0.53208971072167088</c:v>
                </c:pt>
                <c:pt idx="8">
                  <c:v>0.37876077323424867</c:v>
                </c:pt>
                <c:pt idx="9">
                  <c:v>0.31156974707733809</c:v>
                </c:pt>
                <c:pt idx="10">
                  <c:v>0.14239107849821458</c:v>
                </c:pt>
                <c:pt idx="11">
                  <c:v>6.4959906917621865E-2</c:v>
                </c:pt>
                <c:pt idx="12">
                  <c:v>4.3861179337787763E-2</c:v>
                </c:pt>
                <c:pt idx="13">
                  <c:v>1.9989322284542463E-2</c:v>
                </c:pt>
                <c:pt idx="14">
                  <c:v>3.9224721717052568E-4</c:v>
                </c:pt>
                <c:pt idx="15">
                  <c:v>7.6941823695485341E-6</c:v>
                </c:pt>
                <c:pt idx="16">
                  <c:v>1.5092526637052693E-7</c:v>
                </c:pt>
                <c:pt idx="17">
                  <c:v>2.9604718318387182E-9</c:v>
                </c:pt>
                <c:pt idx="18">
                  <c:v>1.145499465891474E-12</c:v>
                </c:pt>
                <c:pt idx="19">
                  <c:v>-1.8444027667159893E-14</c:v>
                </c:pt>
                <c:pt idx="20">
                  <c:v>-1.8444027667159893E-14</c:v>
                </c:pt>
                <c:pt idx="21">
                  <c:v>-1.8444027667159893E-14</c:v>
                </c:pt>
                <c:pt idx="22">
                  <c:v>-1.8444027667159893E-14</c:v>
                </c:pt>
                <c:pt idx="23">
                  <c:v>-1.8444027667159893E-14</c:v>
                </c:pt>
                <c:pt idx="24">
                  <c:v>-1.8444027667159893E-14</c:v>
                </c:pt>
                <c:pt idx="25">
                  <c:v>-1.8444027667159893E-14</c:v>
                </c:pt>
                <c:pt idx="26">
                  <c:v>-1.8444027667159893E-14</c:v>
                </c:pt>
                <c:pt idx="27">
                  <c:v>-1.8444027667159893E-14</c:v>
                </c:pt>
                <c:pt idx="28">
                  <c:v>-1.8444027667159893E-14</c:v>
                </c:pt>
                <c:pt idx="29">
                  <c:v>-1.8444027667159893E-14</c:v>
                </c:pt>
                <c:pt idx="30">
                  <c:v>-1.8444027667159893E-14</c:v>
                </c:pt>
                <c:pt idx="31">
                  <c:v>-1.8444027667159893E-14</c:v>
                </c:pt>
                <c:pt idx="32">
                  <c:v>-1.8444027667159893E-14</c:v>
                </c:pt>
                <c:pt idx="33">
                  <c:v>-1.8444027667159893E-14</c:v>
                </c:pt>
                <c:pt idx="34">
                  <c:v>-1.8444027667159893E-14</c:v>
                </c:pt>
                <c:pt idx="35">
                  <c:v>-1.8444027667159893E-14</c:v>
                </c:pt>
                <c:pt idx="36">
                  <c:v>-1.8444027667159893E-14</c:v>
                </c:pt>
                <c:pt idx="37">
                  <c:v>-1.8444027667159893E-14</c:v>
                </c:pt>
                <c:pt idx="38">
                  <c:v>-1.8444027667159893E-14</c:v>
                </c:pt>
                <c:pt idx="39">
                  <c:v>-1.8444027667159893E-14</c:v>
                </c:pt>
                <c:pt idx="40">
                  <c:v>-1.8444027667159893E-14</c:v>
                </c:pt>
                <c:pt idx="41">
                  <c:v>-1.8444027667159893E-14</c:v>
                </c:pt>
                <c:pt idx="42">
                  <c:v>-1.8444027667159893E-14</c:v>
                </c:pt>
                <c:pt idx="43">
                  <c:v>-1.8444027667159893E-14</c:v>
                </c:pt>
                <c:pt idx="44">
                  <c:v>-1.8444027667159893E-14</c:v>
                </c:pt>
                <c:pt idx="45">
                  <c:v>-1.8444027667159893E-14</c:v>
                </c:pt>
                <c:pt idx="46">
                  <c:v>-1.8444027667159893E-14</c:v>
                </c:pt>
                <c:pt idx="47">
                  <c:v>-1.8444027667159893E-14</c:v>
                </c:pt>
                <c:pt idx="48">
                  <c:v>-1.8444027667159893E-14</c:v>
                </c:pt>
                <c:pt idx="49">
                  <c:v>-1.8444027667159893E-14</c:v>
                </c:pt>
                <c:pt idx="50">
                  <c:v>-1.8444027667159893E-14</c:v>
                </c:pt>
                <c:pt idx="51">
                  <c:v>-1.8444027667159893E-14</c:v>
                </c:pt>
                <c:pt idx="52">
                  <c:v>-1.8444027667159893E-14</c:v>
                </c:pt>
                <c:pt idx="53">
                  <c:v>-1.8444027667159893E-14</c:v>
                </c:pt>
                <c:pt idx="54">
                  <c:v>-1.8444027667159893E-14</c:v>
                </c:pt>
                <c:pt idx="55">
                  <c:v>-1.8444027667159893E-14</c:v>
                </c:pt>
                <c:pt idx="56">
                  <c:v>-1.8444027667159893E-14</c:v>
                </c:pt>
                <c:pt idx="57">
                  <c:v>-1.8444027667159893E-14</c:v>
                </c:pt>
                <c:pt idx="58">
                  <c:v>-1.8444027667159893E-14</c:v>
                </c:pt>
                <c:pt idx="59">
                  <c:v>-1.8444027667159893E-14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ED1-6843-8DB0-4D4CA08DAA36}"/>
            </c:ext>
          </c:extLst>
        </c:ser>
        <c:ser>
          <c:idx val="2"/>
          <c:order val="1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'S2 Meteoric Diagenesis'!$H$26:$H$85</c:f>
              <c:numCache>
                <c:formatCode>0.000</c:formatCode>
                <c:ptCount val="60"/>
                <c:pt idx="0" formatCode="0.00">
                  <c:v>0</c:v>
                </c:pt>
                <c:pt idx="1">
                  <c:v>1.001001001001E-5</c:v>
                </c:pt>
                <c:pt idx="2" formatCode="0.00">
                  <c:v>1.0101010101010102E-2</c:v>
                </c:pt>
                <c:pt idx="3" formatCode="0.00">
                  <c:v>3.1111111111110999E-2</c:v>
                </c:pt>
                <c:pt idx="4" formatCode="0.00">
                  <c:v>0.06</c:v>
                </c:pt>
                <c:pt idx="5" formatCode="0.00">
                  <c:v>9.6363636363635999E-2</c:v>
                </c:pt>
                <c:pt idx="6" formatCode="0.00">
                  <c:v>0.14942528735632185</c:v>
                </c:pt>
                <c:pt idx="7" formatCode="0.00">
                  <c:v>0.16279069767441862</c:v>
                </c:pt>
                <c:pt idx="8" formatCode="0.00">
                  <c:v>0.25</c:v>
                </c:pt>
                <c:pt idx="9" formatCode="0.00">
                  <c:v>0.3</c:v>
                </c:pt>
                <c:pt idx="10" formatCode="0.00">
                  <c:v>0.5</c:v>
                </c:pt>
                <c:pt idx="11" formatCode="0.00">
                  <c:v>0.7</c:v>
                </c:pt>
                <c:pt idx="12" formatCode="0.00">
                  <c:v>0.8</c:v>
                </c:pt>
                <c:pt idx="13" formatCode="0">
                  <c:v>1</c:v>
                </c:pt>
                <c:pt idx="14" formatCode="0">
                  <c:v>2</c:v>
                </c:pt>
                <c:pt idx="15" formatCode="0">
                  <c:v>3</c:v>
                </c:pt>
                <c:pt idx="16" formatCode="0">
                  <c:v>4</c:v>
                </c:pt>
                <c:pt idx="17" formatCode="0">
                  <c:v>5</c:v>
                </c:pt>
                <c:pt idx="18" formatCode="0">
                  <c:v>7</c:v>
                </c:pt>
                <c:pt idx="19" formatCode="0">
                  <c:v>9</c:v>
                </c:pt>
                <c:pt idx="20" formatCode="0">
                  <c:v>12</c:v>
                </c:pt>
                <c:pt idx="21" formatCode="0">
                  <c:v>15</c:v>
                </c:pt>
                <c:pt idx="22" formatCode="0">
                  <c:v>18.999999999999982</c:v>
                </c:pt>
                <c:pt idx="23" formatCode="0">
                  <c:v>23.999999999999979</c:v>
                </c:pt>
                <c:pt idx="24" formatCode="0">
                  <c:v>32.3333333333333</c:v>
                </c:pt>
                <c:pt idx="25" formatCode="0">
                  <c:v>48.999999999999957</c:v>
                </c:pt>
                <c:pt idx="26" formatCode="0">
                  <c:v>54.555555555555507</c:v>
                </c:pt>
                <c:pt idx="27" formatCode="0">
                  <c:v>61.499999999999943</c:v>
                </c:pt>
                <c:pt idx="28" formatCode="0">
                  <c:v>70.42857142857136</c:v>
                </c:pt>
                <c:pt idx="29" formatCode="0">
                  <c:v>82.333333333333258</c:v>
                </c:pt>
                <c:pt idx="30" formatCode="0">
                  <c:v>98.999999999999915</c:v>
                </c:pt>
                <c:pt idx="31" formatCode="0">
                  <c:v>123.99999999999989</c:v>
                </c:pt>
                <c:pt idx="32" formatCode="0">
                  <c:v>165.66666666666652</c:v>
                </c:pt>
                <c:pt idx="33" formatCode="0">
                  <c:v>221.22222222222476</c:v>
                </c:pt>
                <c:pt idx="34" formatCode="0">
                  <c:v>321.58064516129122</c:v>
                </c:pt>
                <c:pt idx="35" formatCode="0">
                  <c:v>415.66666666667402</c:v>
                </c:pt>
                <c:pt idx="36" formatCode="0">
                  <c:v>475.19047619047831</c:v>
                </c:pt>
                <c:pt idx="37" formatCode="0">
                  <c:v>554.55555555554815</c:v>
                </c:pt>
                <c:pt idx="38" formatCode="0">
                  <c:v>665.66666666669073</c:v>
                </c:pt>
                <c:pt idx="39" formatCode="0">
                  <c:v>832.33333333334804</c:v>
                </c:pt>
                <c:pt idx="40" formatCode="0">
                  <c:v>1110.1111111110963</c:v>
                </c:pt>
                <c:pt idx="41" formatCode="0">
                  <c:v>1665.6666666665419</c:v>
                </c:pt>
                <c:pt idx="42" formatCode="0">
                  <c:v>2856.142857143172</c:v>
                </c:pt>
                <c:pt idx="43" formatCode="0">
                  <c:v>4999.0000000005502</c:v>
                </c:pt>
                <c:pt idx="44" formatCode="0">
                  <c:v>9999.0000000011005</c:v>
                </c:pt>
                <c:pt idx="45" formatCode="0">
                  <c:v>15000</c:v>
                </c:pt>
                <c:pt idx="46" formatCode="0">
                  <c:v>30000</c:v>
                </c:pt>
                <c:pt idx="47" formatCode="0">
                  <c:v>45000</c:v>
                </c:pt>
                <c:pt idx="48" formatCode="0">
                  <c:v>60000</c:v>
                </c:pt>
                <c:pt idx="49" formatCode="0">
                  <c:v>75000</c:v>
                </c:pt>
                <c:pt idx="50" formatCode="0">
                  <c:v>90000</c:v>
                </c:pt>
                <c:pt idx="51" formatCode="0">
                  <c:v>105000</c:v>
                </c:pt>
                <c:pt idx="52" formatCode="0">
                  <c:v>120000</c:v>
                </c:pt>
                <c:pt idx="53" formatCode="0">
                  <c:v>135000</c:v>
                </c:pt>
                <c:pt idx="54" formatCode="0">
                  <c:v>200000</c:v>
                </c:pt>
                <c:pt idx="55" formatCode="0">
                  <c:v>300000</c:v>
                </c:pt>
                <c:pt idx="56" formatCode="0">
                  <c:v>400000</c:v>
                </c:pt>
                <c:pt idx="57" formatCode="0">
                  <c:v>500000</c:v>
                </c:pt>
                <c:pt idx="58" formatCode="0">
                  <c:v>600000</c:v>
                </c:pt>
                <c:pt idx="59" formatCode="0">
                  <c:v>700000</c:v>
                </c:pt>
              </c:numCache>
            </c:numRef>
          </c:xVal>
          <c:yVal>
            <c:numRef>
              <c:f>'S2 Meteoric Diagenesis'!$T$26:$T$85</c:f>
              <c:numCache>
                <c:formatCode>0.00</c:formatCode>
                <c:ptCount val="60"/>
                <c:pt idx="0">
                  <c:v>1</c:v>
                </c:pt>
                <c:pt idx="1">
                  <c:v>0.99999992042105823</c:v>
                </c:pt>
                <c:pt idx="2">
                  <c:v>0.99991970083431281</c:v>
                </c:pt>
                <c:pt idx="3">
                  <c:v>0.999752699223179</c:v>
                </c:pt>
                <c:pt idx="4">
                  <c:v>0.99952311754896261</c:v>
                </c:pt>
                <c:pt idx="5">
                  <c:v>0.99923420856898704</c:v>
                </c:pt>
                <c:pt idx="6">
                  <c:v>0.99881278373949367</c:v>
                </c:pt>
                <c:pt idx="7">
                  <c:v>0.99870666135965713</c:v>
                </c:pt>
                <c:pt idx="8">
                  <c:v>0.99801448959032579</c:v>
                </c:pt>
                <c:pt idx="9">
                  <c:v>0.99761786082928161</c:v>
                </c:pt>
                <c:pt idx="10">
                  <c:v>0.99603292143223854</c:v>
                </c:pt>
                <c:pt idx="11">
                  <c:v>0.99445050006638847</c:v>
                </c:pt>
                <c:pt idx="12">
                  <c:v>0.99366023239476986</c:v>
                </c:pt>
                <c:pt idx="13">
                  <c:v>0.99208158057683993</c:v>
                </c:pt>
                <c:pt idx="14">
                  <c:v>0.98422586251984057</c:v>
                </c:pt>
                <c:pt idx="15">
                  <c:v>0.97643234933328715</c:v>
                </c:pt>
                <c:pt idx="16">
                  <c:v>0.96870054845292441</c:v>
                </c:pt>
                <c:pt idx="17">
                  <c:v>0.9610299712148288</c:v>
                </c:pt>
                <c:pt idx="18">
                  <c:v>0.94587055232633277</c:v>
                </c:pt>
                <c:pt idx="19">
                  <c:v>0.93095026019550287</c:v>
                </c:pt>
                <c:pt idx="20">
                  <c:v>0.90900994967512971</c:v>
                </c:pt>
                <c:pt idx="21">
                  <c:v>0.88758672072861999</c:v>
                </c:pt>
                <c:pt idx="22">
                  <c:v>0.85980574316934688</c:v>
                </c:pt>
                <c:pt idx="23">
                  <c:v>0.82629908860838197</c:v>
                </c:pt>
                <c:pt idx="24">
                  <c:v>0.77333113174848378</c:v>
                </c:pt>
                <c:pt idx="25">
                  <c:v>0.67736372314980875</c:v>
                </c:pt>
                <c:pt idx="26">
                  <c:v>0.64809809849963851</c:v>
                </c:pt>
                <c:pt idx="27">
                  <c:v>0.61328771316204966</c:v>
                </c:pt>
                <c:pt idx="28">
                  <c:v>0.57126465818567207</c:v>
                </c:pt>
                <c:pt idx="29">
                  <c:v>0.51967857705611031</c:v>
                </c:pt>
                <c:pt idx="30">
                  <c:v>0.45518847146374669</c:v>
                </c:pt>
                <c:pt idx="31">
                  <c:v>0.37314352879757756</c:v>
                </c:pt>
                <c:pt idx="32">
                  <c:v>0.26792732898911698</c:v>
                </c:pt>
                <c:pt idx="33">
                  <c:v>0.17226821282610322</c:v>
                </c:pt>
                <c:pt idx="34">
                  <c:v>7.7572232931673521E-2</c:v>
                </c:pt>
                <c:pt idx="35">
                  <c:v>3.6716697882644971E-2</c:v>
                </c:pt>
                <c:pt idx="36">
                  <c:v>2.2874462719670533E-2</c:v>
                </c:pt>
                <c:pt idx="37">
                  <c:v>1.217121544811571E-2</c:v>
                </c:pt>
                <c:pt idx="38">
                  <c:v>5.0316476056836571E-3</c:v>
                </c:pt>
                <c:pt idx="39">
                  <c:v>1.3374409562513299E-3</c:v>
                </c:pt>
                <c:pt idx="40">
                  <c:v>1.4696546282359454E-4</c:v>
                </c:pt>
                <c:pt idx="41">
                  <c:v>1.7745842520707929E-6</c:v>
                </c:pt>
                <c:pt idx="42">
                  <c:v>1.3767099329162609E-10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ED1-6843-8DB0-4D4CA08DAA36}"/>
            </c:ext>
          </c:extLst>
        </c:ser>
        <c:ser>
          <c:idx val="3"/>
          <c:order val="2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'S2 Meteoric Diagenesis'!$H$26:$H$85</c:f>
              <c:numCache>
                <c:formatCode>0.000</c:formatCode>
                <c:ptCount val="60"/>
                <c:pt idx="0" formatCode="0.00">
                  <c:v>0</c:v>
                </c:pt>
                <c:pt idx="1">
                  <c:v>1.001001001001E-5</c:v>
                </c:pt>
                <c:pt idx="2" formatCode="0.00">
                  <c:v>1.0101010101010102E-2</c:v>
                </c:pt>
                <c:pt idx="3" formatCode="0.00">
                  <c:v>3.1111111111110999E-2</c:v>
                </c:pt>
                <c:pt idx="4" formatCode="0.00">
                  <c:v>0.06</c:v>
                </c:pt>
                <c:pt idx="5" formatCode="0.00">
                  <c:v>9.6363636363635999E-2</c:v>
                </c:pt>
                <c:pt idx="6" formatCode="0.00">
                  <c:v>0.14942528735632185</c:v>
                </c:pt>
                <c:pt idx="7" formatCode="0.00">
                  <c:v>0.16279069767441862</c:v>
                </c:pt>
                <c:pt idx="8" formatCode="0.00">
                  <c:v>0.25</c:v>
                </c:pt>
                <c:pt idx="9" formatCode="0.00">
                  <c:v>0.3</c:v>
                </c:pt>
                <c:pt idx="10" formatCode="0.00">
                  <c:v>0.5</c:v>
                </c:pt>
                <c:pt idx="11" formatCode="0.00">
                  <c:v>0.7</c:v>
                </c:pt>
                <c:pt idx="12" formatCode="0.00">
                  <c:v>0.8</c:v>
                </c:pt>
                <c:pt idx="13" formatCode="0">
                  <c:v>1</c:v>
                </c:pt>
                <c:pt idx="14" formatCode="0">
                  <c:v>2</c:v>
                </c:pt>
                <c:pt idx="15" formatCode="0">
                  <c:v>3</c:v>
                </c:pt>
                <c:pt idx="16" formatCode="0">
                  <c:v>4</c:v>
                </c:pt>
                <c:pt idx="17" formatCode="0">
                  <c:v>5</c:v>
                </c:pt>
                <c:pt idx="18" formatCode="0">
                  <c:v>7</c:v>
                </c:pt>
                <c:pt idx="19" formatCode="0">
                  <c:v>9</c:v>
                </c:pt>
                <c:pt idx="20" formatCode="0">
                  <c:v>12</c:v>
                </c:pt>
                <c:pt idx="21" formatCode="0">
                  <c:v>15</c:v>
                </c:pt>
                <c:pt idx="22" formatCode="0">
                  <c:v>18.999999999999982</c:v>
                </c:pt>
                <c:pt idx="23" formatCode="0">
                  <c:v>23.999999999999979</c:v>
                </c:pt>
                <c:pt idx="24" formatCode="0">
                  <c:v>32.3333333333333</c:v>
                </c:pt>
                <c:pt idx="25" formatCode="0">
                  <c:v>48.999999999999957</c:v>
                </c:pt>
                <c:pt idx="26" formatCode="0">
                  <c:v>54.555555555555507</c:v>
                </c:pt>
                <c:pt idx="27" formatCode="0">
                  <c:v>61.499999999999943</c:v>
                </c:pt>
                <c:pt idx="28" formatCode="0">
                  <c:v>70.42857142857136</c:v>
                </c:pt>
                <c:pt idx="29" formatCode="0">
                  <c:v>82.333333333333258</c:v>
                </c:pt>
                <c:pt idx="30" formatCode="0">
                  <c:v>98.999999999999915</c:v>
                </c:pt>
                <c:pt idx="31" formatCode="0">
                  <c:v>123.99999999999989</c:v>
                </c:pt>
                <c:pt idx="32" formatCode="0">
                  <c:v>165.66666666666652</c:v>
                </c:pt>
                <c:pt idx="33" formatCode="0">
                  <c:v>221.22222222222476</c:v>
                </c:pt>
                <c:pt idx="34" formatCode="0">
                  <c:v>321.58064516129122</c:v>
                </c:pt>
                <c:pt idx="35" formatCode="0">
                  <c:v>415.66666666667402</c:v>
                </c:pt>
                <c:pt idx="36" formatCode="0">
                  <c:v>475.19047619047831</c:v>
                </c:pt>
                <c:pt idx="37" formatCode="0">
                  <c:v>554.55555555554815</c:v>
                </c:pt>
                <c:pt idx="38" formatCode="0">
                  <c:v>665.66666666669073</c:v>
                </c:pt>
                <c:pt idx="39" formatCode="0">
                  <c:v>832.33333333334804</c:v>
                </c:pt>
                <c:pt idx="40" formatCode="0">
                  <c:v>1110.1111111110963</c:v>
                </c:pt>
                <c:pt idx="41" formatCode="0">
                  <c:v>1665.6666666665419</c:v>
                </c:pt>
                <c:pt idx="42" formatCode="0">
                  <c:v>2856.142857143172</c:v>
                </c:pt>
                <c:pt idx="43" formatCode="0">
                  <c:v>4999.0000000005502</c:v>
                </c:pt>
                <c:pt idx="44" formatCode="0">
                  <c:v>9999.0000000011005</c:v>
                </c:pt>
                <c:pt idx="45" formatCode="0">
                  <c:v>15000</c:v>
                </c:pt>
                <c:pt idx="46" formatCode="0">
                  <c:v>30000</c:v>
                </c:pt>
                <c:pt idx="47" formatCode="0">
                  <c:v>45000</c:v>
                </c:pt>
                <c:pt idx="48" formatCode="0">
                  <c:v>60000</c:v>
                </c:pt>
                <c:pt idx="49" formatCode="0">
                  <c:v>75000</c:v>
                </c:pt>
                <c:pt idx="50" formatCode="0">
                  <c:v>90000</c:v>
                </c:pt>
                <c:pt idx="51" formatCode="0">
                  <c:v>105000</c:v>
                </c:pt>
                <c:pt idx="52" formatCode="0">
                  <c:v>120000</c:v>
                </c:pt>
                <c:pt idx="53" formatCode="0">
                  <c:v>135000</c:v>
                </c:pt>
                <c:pt idx="54" formatCode="0">
                  <c:v>200000</c:v>
                </c:pt>
                <c:pt idx="55" formatCode="0">
                  <c:v>300000</c:v>
                </c:pt>
                <c:pt idx="56" formatCode="0">
                  <c:v>400000</c:v>
                </c:pt>
                <c:pt idx="57" formatCode="0">
                  <c:v>500000</c:v>
                </c:pt>
                <c:pt idx="58" formatCode="0">
                  <c:v>600000</c:v>
                </c:pt>
                <c:pt idx="59" formatCode="0">
                  <c:v>700000</c:v>
                </c:pt>
              </c:numCache>
            </c:numRef>
          </c:xVal>
          <c:yVal>
            <c:numRef>
              <c:f>'S2 Meteoric Diagenesis'!$AA$26:$AA$85</c:f>
              <c:numCache>
                <c:formatCode>0.00</c:formatCode>
                <c:ptCount val="60"/>
                <c:pt idx="0">
                  <c:v>1.000000000000381</c:v>
                </c:pt>
                <c:pt idx="1">
                  <c:v>0.99999992037865992</c:v>
                </c:pt>
                <c:pt idx="2">
                  <c:v>0.99991968767249195</c:v>
                </c:pt>
                <c:pt idx="3">
                  <c:v>0.99975284884932847</c:v>
                </c:pt>
                <c:pt idx="4">
                  <c:v>0.99952390828860171</c:v>
                </c:pt>
                <c:pt idx="5">
                  <c:v>0.99923648822589006</c:v>
                </c:pt>
                <c:pt idx="6">
                  <c:v>0.99881858628378006</c:v>
                </c:pt>
                <c:pt idx="7">
                  <c:v>0.99871360174969481</c:v>
                </c:pt>
                <c:pt idx="8">
                  <c:v>0.99803129762115761</c:v>
                </c:pt>
                <c:pt idx="9">
                  <c:v>0.99764221361049943</c:v>
                </c:pt>
                <c:pt idx="10">
                  <c:v>0.99610083146902628</c:v>
                </c:pt>
                <c:pt idx="11">
                  <c:v>0.99458260008986954</c:v>
                </c:pt>
                <c:pt idx="12">
                  <c:v>0.99383185575481625</c:v>
                </c:pt>
                <c:pt idx="13">
                  <c:v>0.99234652058177653</c:v>
                </c:pt>
                <c:pt idx="14">
                  <c:v>0.98521535157106399</c:v>
                </c:pt>
                <c:pt idx="15">
                  <c:v>0.97851016875502617</c:v>
                </c:pt>
                <c:pt idx="16">
                  <c:v>0.97215739124962519</c:v>
                </c:pt>
                <c:pt idx="17">
                  <c:v>0.96609984299742957</c:v>
                </c:pt>
                <c:pt idx="18">
                  <c:v>0.95469907353992356</c:v>
                </c:pt>
                <c:pt idx="19">
                  <c:v>0.94404323564306303</c:v>
                </c:pt>
                <c:pt idx="20">
                  <c:v>0.92908622711615574</c:v>
                </c:pt>
                <c:pt idx="21">
                  <c:v>0.91503546906504762</c:v>
                </c:pt>
                <c:pt idx="22">
                  <c:v>0.89731522558977173</c:v>
                </c:pt>
                <c:pt idx="23">
                  <c:v>0.87634139230556696</c:v>
                </c:pt>
                <c:pt idx="24">
                  <c:v>0.84339843614729915</c:v>
                </c:pt>
                <c:pt idx="25">
                  <c:v>0.78244569186250257</c:v>
                </c:pt>
                <c:pt idx="26">
                  <c:v>0.76321349124980331</c:v>
                </c:pt>
                <c:pt idx="27">
                  <c:v>0.73980916317952194</c:v>
                </c:pt>
                <c:pt idx="28">
                  <c:v>0.7106708511414298</c:v>
                </c:pt>
                <c:pt idx="29">
                  <c:v>0.67335696252342314</c:v>
                </c:pt>
                <c:pt idx="30">
                  <c:v>0.62384946247353956</c:v>
                </c:pt>
                <c:pt idx="31">
                  <c:v>0.55512842501508841</c:v>
                </c:pt>
                <c:pt idx="32">
                  <c:v>0.45417113411949878</c:v>
                </c:pt>
                <c:pt idx="33">
                  <c:v>0.34329672671279465</c:v>
                </c:pt>
                <c:pt idx="34">
                  <c:v>0.20022037045872615</c:v>
                </c:pt>
                <c:pt idx="35">
                  <c:v>0.11663942185013913</c:v>
                </c:pt>
                <c:pt idx="36">
                  <c:v>8.1637171999444438E-2</c:v>
                </c:pt>
                <c:pt idx="37">
                  <c:v>4.995521214035388E-2</c:v>
                </c:pt>
                <c:pt idx="38">
                  <c:v>2.449994496558518E-2</c:v>
                </c:pt>
                <c:pt idx="39">
                  <c:v>8.0673218541636536E-3</c:v>
                </c:pt>
                <c:pt idx="40">
                  <c:v>1.1724433769769564E-3</c:v>
                </c:pt>
                <c:pt idx="41">
                  <c:v>2.1014238246027069E-5</c:v>
                </c:pt>
                <c:pt idx="42">
                  <c:v>2.7470249016185098E-9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2ED1-6843-8DB0-4D4CA08DAA36}"/>
            </c:ext>
          </c:extLst>
        </c:ser>
        <c:ser>
          <c:idx val="4"/>
          <c:order val="3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'S2 Meteoric Diagenesis'!$H$26:$H$85</c:f>
              <c:numCache>
                <c:formatCode>0.000</c:formatCode>
                <c:ptCount val="60"/>
                <c:pt idx="0" formatCode="0.00">
                  <c:v>0</c:v>
                </c:pt>
                <c:pt idx="1">
                  <c:v>1.001001001001E-5</c:v>
                </c:pt>
                <c:pt idx="2" formatCode="0.00">
                  <c:v>1.0101010101010102E-2</c:v>
                </c:pt>
                <c:pt idx="3" formatCode="0.00">
                  <c:v>3.1111111111110999E-2</c:v>
                </c:pt>
                <c:pt idx="4" formatCode="0.00">
                  <c:v>0.06</c:v>
                </c:pt>
                <c:pt idx="5" formatCode="0.00">
                  <c:v>9.6363636363635999E-2</c:v>
                </c:pt>
                <c:pt idx="6" formatCode="0.00">
                  <c:v>0.14942528735632185</c:v>
                </c:pt>
                <c:pt idx="7" formatCode="0.00">
                  <c:v>0.16279069767441862</c:v>
                </c:pt>
                <c:pt idx="8" formatCode="0.00">
                  <c:v>0.25</c:v>
                </c:pt>
                <c:pt idx="9" formatCode="0.00">
                  <c:v>0.3</c:v>
                </c:pt>
                <c:pt idx="10" formatCode="0.00">
                  <c:v>0.5</c:v>
                </c:pt>
                <c:pt idx="11" formatCode="0.00">
                  <c:v>0.7</c:v>
                </c:pt>
                <c:pt idx="12" formatCode="0.00">
                  <c:v>0.8</c:v>
                </c:pt>
                <c:pt idx="13" formatCode="0">
                  <c:v>1</c:v>
                </c:pt>
                <c:pt idx="14" formatCode="0">
                  <c:v>2</c:v>
                </c:pt>
                <c:pt idx="15" formatCode="0">
                  <c:v>3</c:v>
                </c:pt>
                <c:pt idx="16" formatCode="0">
                  <c:v>4</c:v>
                </c:pt>
                <c:pt idx="17" formatCode="0">
                  <c:v>5</c:v>
                </c:pt>
                <c:pt idx="18" formatCode="0">
                  <c:v>7</c:v>
                </c:pt>
                <c:pt idx="19" formatCode="0">
                  <c:v>9</c:v>
                </c:pt>
                <c:pt idx="20" formatCode="0">
                  <c:v>12</c:v>
                </c:pt>
                <c:pt idx="21" formatCode="0">
                  <c:v>15</c:v>
                </c:pt>
                <c:pt idx="22" formatCode="0">
                  <c:v>18.999999999999982</c:v>
                </c:pt>
                <c:pt idx="23" formatCode="0">
                  <c:v>23.999999999999979</c:v>
                </c:pt>
                <c:pt idx="24" formatCode="0">
                  <c:v>32.3333333333333</c:v>
                </c:pt>
                <c:pt idx="25" formatCode="0">
                  <c:v>48.999999999999957</c:v>
                </c:pt>
                <c:pt idx="26" formatCode="0">
                  <c:v>54.555555555555507</c:v>
                </c:pt>
                <c:pt idx="27" formatCode="0">
                  <c:v>61.499999999999943</c:v>
                </c:pt>
                <c:pt idx="28" formatCode="0">
                  <c:v>70.42857142857136</c:v>
                </c:pt>
                <c:pt idx="29" formatCode="0">
                  <c:v>82.333333333333258</c:v>
                </c:pt>
                <c:pt idx="30" formatCode="0">
                  <c:v>98.999999999999915</c:v>
                </c:pt>
                <c:pt idx="31" formatCode="0">
                  <c:v>123.99999999999989</c:v>
                </c:pt>
                <c:pt idx="32" formatCode="0">
                  <c:v>165.66666666666652</c:v>
                </c:pt>
                <c:pt idx="33" formatCode="0">
                  <c:v>221.22222222222476</c:v>
                </c:pt>
                <c:pt idx="34" formatCode="0">
                  <c:v>321.58064516129122</c:v>
                </c:pt>
                <c:pt idx="35" formatCode="0">
                  <c:v>415.66666666667402</c:v>
                </c:pt>
                <c:pt idx="36" formatCode="0">
                  <c:v>475.19047619047831</c:v>
                </c:pt>
                <c:pt idx="37" formatCode="0">
                  <c:v>554.55555555554815</c:v>
                </c:pt>
                <c:pt idx="38" formatCode="0">
                  <c:v>665.66666666669073</c:v>
                </c:pt>
                <c:pt idx="39" formatCode="0">
                  <c:v>832.33333333334804</c:v>
                </c:pt>
                <c:pt idx="40" formatCode="0">
                  <c:v>1110.1111111110963</c:v>
                </c:pt>
                <c:pt idx="41" formatCode="0">
                  <c:v>1665.6666666665419</c:v>
                </c:pt>
                <c:pt idx="42" formatCode="0">
                  <c:v>2856.142857143172</c:v>
                </c:pt>
                <c:pt idx="43" formatCode="0">
                  <c:v>4999.0000000005502</c:v>
                </c:pt>
                <c:pt idx="44" formatCode="0">
                  <c:v>9999.0000000011005</c:v>
                </c:pt>
                <c:pt idx="45" formatCode="0">
                  <c:v>15000</c:v>
                </c:pt>
                <c:pt idx="46" formatCode="0">
                  <c:v>30000</c:v>
                </c:pt>
                <c:pt idx="47" formatCode="0">
                  <c:v>45000</c:v>
                </c:pt>
                <c:pt idx="48" formatCode="0">
                  <c:v>60000</c:v>
                </c:pt>
                <c:pt idx="49" formatCode="0">
                  <c:v>75000</c:v>
                </c:pt>
                <c:pt idx="50" formatCode="0">
                  <c:v>90000</c:v>
                </c:pt>
                <c:pt idx="51" formatCode="0">
                  <c:v>105000</c:v>
                </c:pt>
                <c:pt idx="52" formatCode="0">
                  <c:v>120000</c:v>
                </c:pt>
                <c:pt idx="53" formatCode="0">
                  <c:v>135000</c:v>
                </c:pt>
                <c:pt idx="54" formatCode="0">
                  <c:v>200000</c:v>
                </c:pt>
                <c:pt idx="55" formatCode="0">
                  <c:v>300000</c:v>
                </c:pt>
                <c:pt idx="56" formatCode="0">
                  <c:v>400000</c:v>
                </c:pt>
                <c:pt idx="57" formatCode="0">
                  <c:v>500000</c:v>
                </c:pt>
                <c:pt idx="58" formatCode="0">
                  <c:v>600000</c:v>
                </c:pt>
                <c:pt idx="59" formatCode="0">
                  <c:v>700000</c:v>
                </c:pt>
              </c:numCache>
            </c:numRef>
          </c:xVal>
          <c:yVal>
            <c:numRef>
              <c:f>'S2 Meteoric Diagenesis'!$AJ$26:$AJ$85</c:f>
              <c:numCache>
                <c:formatCode>0.00</c:formatCode>
                <c:ptCount val="60"/>
                <c:pt idx="0">
                  <c:v>1.0000000000000147</c:v>
                </c:pt>
                <c:pt idx="1">
                  <c:v>0.99999999776782811</c:v>
                </c:pt>
                <c:pt idx="2">
                  <c:v>0.9999977474968651</c:v>
                </c:pt>
                <c:pt idx="3">
                  <c:v>0.99999306230670659</c:v>
                </c:pt>
                <c:pt idx="4">
                  <c:v>0.99998662020600726</c:v>
                </c:pt>
                <c:pt idx="5">
                  <c:v>0.99997851132702642</c:v>
                </c:pt>
                <c:pt idx="6">
                  <c:v>0.99996667900614056</c:v>
                </c:pt>
                <c:pt idx="7">
                  <c:v>0.99996369864929424</c:v>
                </c:pt>
                <c:pt idx="8">
                  <c:v>0.99994425203924286</c:v>
                </c:pt>
                <c:pt idx="9">
                  <c:v>0.99993310282004044</c:v>
                </c:pt>
                <c:pt idx="10">
                  <c:v>0.99988850718633859</c:v>
                </c:pt>
                <c:pt idx="11">
                  <c:v>0.99984391354147906</c:v>
                </c:pt>
                <c:pt idx="12">
                  <c:v>0.99982161746491394</c:v>
                </c:pt>
                <c:pt idx="13">
                  <c:v>0.99977702680325264</c:v>
                </c:pt>
                <c:pt idx="14">
                  <c:v>0.99955410332360606</c:v>
                </c:pt>
                <c:pt idx="15">
                  <c:v>0.99933122954980347</c:v>
                </c:pt>
                <c:pt idx="16">
                  <c:v>0.999108405470997</c:v>
                </c:pt>
                <c:pt idx="17">
                  <c:v>0.99888563107594786</c:v>
                </c:pt>
                <c:pt idx="18">
                  <c:v>0.99844023129288317</c:v>
                </c:pt>
                <c:pt idx="19">
                  <c:v>0.99799503011213231</c:v>
                </c:pt>
                <c:pt idx="20">
                  <c:v>0.99732760052657332</c:v>
                </c:pt>
                <c:pt idx="21">
                  <c:v>0.99666061729821198</c:v>
                </c:pt>
                <c:pt idx="22">
                  <c:v>0.99577200014453637</c:v>
                </c:pt>
                <c:pt idx="23">
                  <c:v>0.99466234277210519</c:v>
                </c:pt>
                <c:pt idx="24">
                  <c:v>0.99281566106570085</c:v>
                </c:pt>
                <c:pt idx="25">
                  <c:v>0.98913257688852618</c:v>
                </c:pt>
                <c:pt idx="26">
                  <c:v>0.9879079209521241</c:v>
                </c:pt>
                <c:pt idx="27">
                  <c:v>0.98637923305216024</c:v>
                </c:pt>
                <c:pt idx="28">
                  <c:v>0.98441725249103229</c:v>
                </c:pt>
                <c:pt idx="29">
                  <c:v>0.98180734765889521</c:v>
                </c:pt>
                <c:pt idx="30">
                  <c:v>0.97816510142019486</c:v>
                </c:pt>
                <c:pt idx="31">
                  <c:v>0.9727270509645477</c:v>
                </c:pt>
                <c:pt idx="32">
                  <c:v>0.96373073386992603</c:v>
                </c:pt>
                <c:pt idx="33">
                  <c:v>0.95186493795256499</c:v>
                </c:pt>
                <c:pt idx="34">
                  <c:v>0.93079905792316064</c:v>
                </c:pt>
                <c:pt idx="35">
                  <c:v>0.91147340739623273</c:v>
                </c:pt>
                <c:pt idx="36">
                  <c:v>0.89945473089206507</c:v>
                </c:pt>
                <c:pt idx="37">
                  <c:v>0.88367598841606276</c:v>
                </c:pt>
                <c:pt idx="38">
                  <c:v>0.86204968171386587</c:v>
                </c:pt>
                <c:pt idx="39">
                  <c:v>0.83059852987696758</c:v>
                </c:pt>
                <c:pt idx="40">
                  <c:v>0.78070913646793294</c:v>
                </c:pt>
                <c:pt idx="41">
                  <c:v>0.68974008998147129</c:v>
                </c:pt>
                <c:pt idx="42">
                  <c:v>0.52892199616960045</c:v>
                </c:pt>
                <c:pt idx="43">
                  <c:v>0.32799159473440487</c:v>
                </c:pt>
                <c:pt idx="44">
                  <c:v>0.10755449909743686</c:v>
                </c:pt>
                <c:pt idx="45">
                  <c:v>3.5261241795427278E-2</c:v>
                </c:pt>
                <c:pt idx="46">
                  <c:v>1.2433551729495098E-3</c:v>
                </c:pt>
                <c:pt idx="47">
                  <c:v>4.3842247412937473E-5</c:v>
                </c:pt>
                <c:pt idx="48">
                  <c:v>1.5459321529770519E-6</c:v>
                </c:pt>
                <c:pt idx="49">
                  <c:v>5.4511534054928349E-8</c:v>
                </c:pt>
                <c:pt idx="50">
                  <c:v>1.9221423797446704E-9</c:v>
                </c:pt>
                <c:pt idx="51">
                  <c:v>6.7774657925885305E-11</c:v>
                </c:pt>
                <c:pt idx="52">
                  <c:v>2.426796743106813E-12</c:v>
                </c:pt>
                <c:pt idx="53">
                  <c:v>8.1310200155640639E-14</c:v>
                </c:pt>
                <c:pt idx="54">
                  <c:v>1.6157796184774741E-14</c:v>
                </c:pt>
                <c:pt idx="55">
                  <c:v>1.6157796184774741E-14</c:v>
                </c:pt>
                <c:pt idx="56">
                  <c:v>1.6157796184774741E-14</c:v>
                </c:pt>
                <c:pt idx="57">
                  <c:v>1.6157796184774741E-14</c:v>
                </c:pt>
                <c:pt idx="58">
                  <c:v>1.6157796184774741E-14</c:v>
                </c:pt>
                <c:pt idx="59">
                  <c:v>1.6157796184774741E-14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2ED1-6843-8DB0-4D4CA08DAA36}"/>
            </c:ext>
          </c:extLst>
        </c:ser>
        <c:ser>
          <c:idx val="5"/>
          <c:order val="4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'S2 Meteoric Diagenesis'!$H$26:$H$85</c:f>
              <c:numCache>
                <c:formatCode>0.000</c:formatCode>
                <c:ptCount val="60"/>
                <c:pt idx="0" formatCode="0.00">
                  <c:v>0</c:v>
                </c:pt>
                <c:pt idx="1">
                  <c:v>1.001001001001E-5</c:v>
                </c:pt>
                <c:pt idx="2" formatCode="0.00">
                  <c:v>1.0101010101010102E-2</c:v>
                </c:pt>
                <c:pt idx="3" formatCode="0.00">
                  <c:v>3.1111111111110999E-2</c:v>
                </c:pt>
                <c:pt idx="4" formatCode="0.00">
                  <c:v>0.06</c:v>
                </c:pt>
                <c:pt idx="5" formatCode="0.00">
                  <c:v>9.6363636363635999E-2</c:v>
                </c:pt>
                <c:pt idx="6" formatCode="0.00">
                  <c:v>0.14942528735632185</c:v>
                </c:pt>
                <c:pt idx="7" formatCode="0.00">
                  <c:v>0.16279069767441862</c:v>
                </c:pt>
                <c:pt idx="8" formatCode="0.00">
                  <c:v>0.25</c:v>
                </c:pt>
                <c:pt idx="9" formatCode="0.00">
                  <c:v>0.3</c:v>
                </c:pt>
                <c:pt idx="10" formatCode="0.00">
                  <c:v>0.5</c:v>
                </c:pt>
                <c:pt idx="11" formatCode="0.00">
                  <c:v>0.7</c:v>
                </c:pt>
                <c:pt idx="12" formatCode="0.00">
                  <c:v>0.8</c:v>
                </c:pt>
                <c:pt idx="13" formatCode="0">
                  <c:v>1</c:v>
                </c:pt>
                <c:pt idx="14" formatCode="0">
                  <c:v>2</c:v>
                </c:pt>
                <c:pt idx="15" formatCode="0">
                  <c:v>3</c:v>
                </c:pt>
                <c:pt idx="16" formatCode="0">
                  <c:v>4</c:v>
                </c:pt>
                <c:pt idx="17" formatCode="0">
                  <c:v>5</c:v>
                </c:pt>
                <c:pt idx="18" formatCode="0">
                  <c:v>7</c:v>
                </c:pt>
                <c:pt idx="19" formatCode="0">
                  <c:v>9</c:v>
                </c:pt>
                <c:pt idx="20" formatCode="0">
                  <c:v>12</c:v>
                </c:pt>
                <c:pt idx="21" formatCode="0">
                  <c:v>15</c:v>
                </c:pt>
                <c:pt idx="22" formatCode="0">
                  <c:v>18.999999999999982</c:v>
                </c:pt>
                <c:pt idx="23" formatCode="0">
                  <c:v>23.999999999999979</c:v>
                </c:pt>
                <c:pt idx="24" formatCode="0">
                  <c:v>32.3333333333333</c:v>
                </c:pt>
                <c:pt idx="25" formatCode="0">
                  <c:v>48.999999999999957</c:v>
                </c:pt>
                <c:pt idx="26" formatCode="0">
                  <c:v>54.555555555555507</c:v>
                </c:pt>
                <c:pt idx="27" formatCode="0">
                  <c:v>61.499999999999943</c:v>
                </c:pt>
                <c:pt idx="28" formatCode="0">
                  <c:v>70.42857142857136</c:v>
                </c:pt>
                <c:pt idx="29" formatCode="0">
                  <c:v>82.333333333333258</c:v>
                </c:pt>
                <c:pt idx="30" formatCode="0">
                  <c:v>98.999999999999915</c:v>
                </c:pt>
                <c:pt idx="31" formatCode="0">
                  <c:v>123.99999999999989</c:v>
                </c:pt>
                <c:pt idx="32" formatCode="0">
                  <c:v>165.66666666666652</c:v>
                </c:pt>
                <c:pt idx="33" formatCode="0">
                  <c:v>221.22222222222476</c:v>
                </c:pt>
                <c:pt idx="34" formatCode="0">
                  <c:v>321.58064516129122</c:v>
                </c:pt>
                <c:pt idx="35" formatCode="0">
                  <c:v>415.66666666667402</c:v>
                </c:pt>
                <c:pt idx="36" formatCode="0">
                  <c:v>475.19047619047831</c:v>
                </c:pt>
                <c:pt idx="37" formatCode="0">
                  <c:v>554.55555555554815</c:v>
                </c:pt>
                <c:pt idx="38" formatCode="0">
                  <c:v>665.66666666669073</c:v>
                </c:pt>
                <c:pt idx="39" formatCode="0">
                  <c:v>832.33333333334804</c:v>
                </c:pt>
                <c:pt idx="40" formatCode="0">
                  <c:v>1110.1111111110963</c:v>
                </c:pt>
                <c:pt idx="41" formatCode="0">
                  <c:v>1665.6666666665419</c:v>
                </c:pt>
                <c:pt idx="42" formatCode="0">
                  <c:v>2856.142857143172</c:v>
                </c:pt>
                <c:pt idx="43" formatCode="0">
                  <c:v>4999.0000000005502</c:v>
                </c:pt>
                <c:pt idx="44" formatCode="0">
                  <c:v>9999.0000000011005</c:v>
                </c:pt>
                <c:pt idx="45" formatCode="0">
                  <c:v>15000</c:v>
                </c:pt>
                <c:pt idx="46" formatCode="0">
                  <c:v>30000</c:v>
                </c:pt>
                <c:pt idx="47" formatCode="0">
                  <c:v>45000</c:v>
                </c:pt>
                <c:pt idx="48" formatCode="0">
                  <c:v>60000</c:v>
                </c:pt>
                <c:pt idx="49" formatCode="0">
                  <c:v>75000</c:v>
                </c:pt>
                <c:pt idx="50" formatCode="0">
                  <c:v>90000</c:v>
                </c:pt>
                <c:pt idx="51" formatCode="0">
                  <c:v>105000</c:v>
                </c:pt>
                <c:pt idx="52" formatCode="0">
                  <c:v>120000</c:v>
                </c:pt>
                <c:pt idx="53" formatCode="0">
                  <c:v>135000</c:v>
                </c:pt>
                <c:pt idx="54" formatCode="0">
                  <c:v>200000</c:v>
                </c:pt>
                <c:pt idx="55" formatCode="0">
                  <c:v>300000</c:v>
                </c:pt>
                <c:pt idx="56" formatCode="0">
                  <c:v>400000</c:v>
                </c:pt>
                <c:pt idx="57" formatCode="0">
                  <c:v>500000</c:v>
                </c:pt>
                <c:pt idx="58" formatCode="0">
                  <c:v>600000</c:v>
                </c:pt>
                <c:pt idx="59" formatCode="0">
                  <c:v>700000</c:v>
                </c:pt>
              </c:numCache>
            </c:numRef>
          </c:xVal>
          <c:yVal>
            <c:numRef>
              <c:f>'S2 Meteoric Diagenesis'!$AS$26:$AS$85</c:f>
              <c:numCache>
                <c:formatCode>0.00</c:formatCode>
                <c:ptCount val="60"/>
                <c:pt idx="0">
                  <c:v>1.0001346664990891</c:v>
                </c:pt>
                <c:pt idx="1">
                  <c:v>1.0001227002856872</c:v>
                </c:pt>
                <c:pt idx="2">
                  <c:v>0.9881321984722844</c:v>
                </c:pt>
                <c:pt idx="3">
                  <c:v>0.96362646053650358</c:v>
                </c:pt>
                <c:pt idx="4">
                  <c:v>0.93092031425315103</c:v>
                </c:pt>
                <c:pt idx="5">
                  <c:v>0.89132514778471383</c:v>
                </c:pt>
                <c:pt idx="6">
                  <c:v>0.83654995507697549</c:v>
                </c:pt>
                <c:pt idx="7">
                  <c:v>0.82329201188633749</c:v>
                </c:pt>
                <c:pt idx="8">
                  <c:v>0.74179446978032715</c:v>
                </c:pt>
                <c:pt idx="9">
                  <c:v>0.69876092861806505</c:v>
                </c:pt>
                <c:pt idx="10">
                  <c:v>0.55018494391642059</c:v>
                </c:pt>
                <c:pt idx="11">
                  <c:v>0.43320034093921378</c:v>
                </c:pt>
                <c:pt idx="12">
                  <c:v>0.3843959770622124</c:v>
                </c:pt>
                <c:pt idx="13">
                  <c:v>0.3026627139842229</c:v>
                </c:pt>
                <c:pt idx="14">
                  <c:v>9.1592384010601213E-2</c:v>
                </c:pt>
                <c:pt idx="15">
                  <c:v>2.7717866856860316E-2</c:v>
                </c:pt>
                <c:pt idx="16">
                  <c:v>8.388035221407528E-3</c:v>
                </c:pt>
                <c:pt idx="17">
                  <c:v>2.5384036671930311E-3</c:v>
                </c:pt>
                <c:pt idx="18">
                  <c:v>2.3246713792152314E-4</c:v>
                </c:pt>
                <c:pt idx="19">
                  <c:v>2.1289352420098596E-5</c:v>
                </c:pt>
                <c:pt idx="20">
                  <c:v>5.9001597484678444E-7</c:v>
                </c:pt>
                <c:pt idx="21">
                  <c:v>1.6351778204879448E-8</c:v>
                </c:pt>
                <c:pt idx="22">
                  <c:v>1.3716256092993749E-10</c:v>
                </c:pt>
                <c:pt idx="23">
                  <c:v>3.6206871846233124E-13</c:v>
                </c:pt>
                <c:pt idx="24">
                  <c:v>2.0494455762018751E-14</c:v>
                </c:pt>
                <c:pt idx="25">
                  <c:v>2.0494455762018751E-14</c:v>
                </c:pt>
                <c:pt idx="26">
                  <c:v>2.0494455762018751E-14</c:v>
                </c:pt>
                <c:pt idx="27">
                  <c:v>2.0494455762018751E-14</c:v>
                </c:pt>
                <c:pt idx="28">
                  <c:v>2.0494455762018751E-14</c:v>
                </c:pt>
                <c:pt idx="29">
                  <c:v>2.0494455762018751E-14</c:v>
                </c:pt>
                <c:pt idx="30">
                  <c:v>2.0494455762018751E-14</c:v>
                </c:pt>
                <c:pt idx="31">
                  <c:v>2.0494455762018751E-14</c:v>
                </c:pt>
                <c:pt idx="32">
                  <c:v>2.0494455762018751E-14</c:v>
                </c:pt>
                <c:pt idx="33">
                  <c:v>2.0494455762018751E-14</c:v>
                </c:pt>
                <c:pt idx="34">
                  <c:v>2.0494455762018751E-14</c:v>
                </c:pt>
                <c:pt idx="35">
                  <c:v>2.0494455762018751E-14</c:v>
                </c:pt>
                <c:pt idx="36">
                  <c:v>2.0494455762018751E-14</c:v>
                </c:pt>
                <c:pt idx="37">
                  <c:v>2.0494455762018751E-14</c:v>
                </c:pt>
                <c:pt idx="38">
                  <c:v>2.0494455762018751E-14</c:v>
                </c:pt>
                <c:pt idx="39">
                  <c:v>2.0494455762018751E-14</c:v>
                </c:pt>
                <c:pt idx="40">
                  <c:v>2.0494455762018751E-14</c:v>
                </c:pt>
                <c:pt idx="41">
                  <c:v>2.0494455762018751E-14</c:v>
                </c:pt>
                <c:pt idx="42">
                  <c:v>2.0494455762018751E-14</c:v>
                </c:pt>
                <c:pt idx="43">
                  <c:v>2.0494455762018751E-14</c:v>
                </c:pt>
                <c:pt idx="44">
                  <c:v>2.0494455762018751E-14</c:v>
                </c:pt>
                <c:pt idx="45">
                  <c:v>2.0494455762018751E-14</c:v>
                </c:pt>
                <c:pt idx="46">
                  <c:v>2.0494455762018751E-14</c:v>
                </c:pt>
                <c:pt idx="47">
                  <c:v>2.0494455762018751E-14</c:v>
                </c:pt>
                <c:pt idx="48">
                  <c:v>2.0494455762018751E-14</c:v>
                </c:pt>
                <c:pt idx="49">
                  <c:v>2.0494455762018751E-14</c:v>
                </c:pt>
                <c:pt idx="50">
                  <c:v>2.0494455762018751E-14</c:v>
                </c:pt>
                <c:pt idx="51">
                  <c:v>2.0494455762018751E-14</c:v>
                </c:pt>
                <c:pt idx="52">
                  <c:v>2.0494455762018751E-14</c:v>
                </c:pt>
                <c:pt idx="53">
                  <c:v>2.0494455762018751E-14</c:v>
                </c:pt>
                <c:pt idx="54">
                  <c:v>2.0494455762018751E-14</c:v>
                </c:pt>
                <c:pt idx="55">
                  <c:v>2.0494455762018751E-14</c:v>
                </c:pt>
                <c:pt idx="56">
                  <c:v>2.0494455762018751E-14</c:v>
                </c:pt>
                <c:pt idx="57">
                  <c:v>2.0494455762018751E-14</c:v>
                </c:pt>
                <c:pt idx="58">
                  <c:v>2.0494455762018751E-14</c:v>
                </c:pt>
                <c:pt idx="59">
                  <c:v>2.0494455762018751E-14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2ED1-6843-8DB0-4D4CA08DAA36}"/>
            </c:ext>
          </c:extLst>
        </c:ser>
        <c:ser>
          <c:idx val="6"/>
          <c:order val="5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'S2 Meteoric Diagenesis'!$H$26:$H$85</c:f>
              <c:numCache>
                <c:formatCode>0.000</c:formatCode>
                <c:ptCount val="60"/>
                <c:pt idx="0" formatCode="0.00">
                  <c:v>0</c:v>
                </c:pt>
                <c:pt idx="1">
                  <c:v>1.001001001001E-5</c:v>
                </c:pt>
                <c:pt idx="2" formatCode="0.00">
                  <c:v>1.0101010101010102E-2</c:v>
                </c:pt>
                <c:pt idx="3" formatCode="0.00">
                  <c:v>3.1111111111110999E-2</c:v>
                </c:pt>
                <c:pt idx="4" formatCode="0.00">
                  <c:v>0.06</c:v>
                </c:pt>
                <c:pt idx="5" formatCode="0.00">
                  <c:v>9.6363636363635999E-2</c:v>
                </c:pt>
                <c:pt idx="6" formatCode="0.00">
                  <c:v>0.14942528735632185</c:v>
                </c:pt>
                <c:pt idx="7" formatCode="0.00">
                  <c:v>0.16279069767441862</c:v>
                </c:pt>
                <c:pt idx="8" formatCode="0.00">
                  <c:v>0.25</c:v>
                </c:pt>
                <c:pt idx="9" formatCode="0.00">
                  <c:v>0.3</c:v>
                </c:pt>
                <c:pt idx="10" formatCode="0.00">
                  <c:v>0.5</c:v>
                </c:pt>
                <c:pt idx="11" formatCode="0.00">
                  <c:v>0.7</c:v>
                </c:pt>
                <c:pt idx="12" formatCode="0.00">
                  <c:v>0.8</c:v>
                </c:pt>
                <c:pt idx="13" formatCode="0">
                  <c:v>1</c:v>
                </c:pt>
                <c:pt idx="14" formatCode="0">
                  <c:v>2</c:v>
                </c:pt>
                <c:pt idx="15" formatCode="0">
                  <c:v>3</c:v>
                </c:pt>
                <c:pt idx="16" formatCode="0">
                  <c:v>4</c:v>
                </c:pt>
                <c:pt idx="17" formatCode="0">
                  <c:v>5</c:v>
                </c:pt>
                <c:pt idx="18" formatCode="0">
                  <c:v>7</c:v>
                </c:pt>
                <c:pt idx="19" formatCode="0">
                  <c:v>9</c:v>
                </c:pt>
                <c:pt idx="20" formatCode="0">
                  <c:v>12</c:v>
                </c:pt>
                <c:pt idx="21" formatCode="0">
                  <c:v>15</c:v>
                </c:pt>
                <c:pt idx="22" formatCode="0">
                  <c:v>18.999999999999982</c:v>
                </c:pt>
                <c:pt idx="23" formatCode="0">
                  <c:v>23.999999999999979</c:v>
                </c:pt>
                <c:pt idx="24" formatCode="0">
                  <c:v>32.3333333333333</c:v>
                </c:pt>
                <c:pt idx="25" formatCode="0">
                  <c:v>48.999999999999957</c:v>
                </c:pt>
                <c:pt idx="26" formatCode="0">
                  <c:v>54.555555555555507</c:v>
                </c:pt>
                <c:pt idx="27" formatCode="0">
                  <c:v>61.499999999999943</c:v>
                </c:pt>
                <c:pt idx="28" formatCode="0">
                  <c:v>70.42857142857136</c:v>
                </c:pt>
                <c:pt idx="29" formatCode="0">
                  <c:v>82.333333333333258</c:v>
                </c:pt>
                <c:pt idx="30" formatCode="0">
                  <c:v>98.999999999999915</c:v>
                </c:pt>
                <c:pt idx="31" formatCode="0">
                  <c:v>123.99999999999989</c:v>
                </c:pt>
                <c:pt idx="32" formatCode="0">
                  <c:v>165.66666666666652</c:v>
                </c:pt>
                <c:pt idx="33" formatCode="0">
                  <c:v>221.22222222222476</c:v>
                </c:pt>
                <c:pt idx="34" formatCode="0">
                  <c:v>321.58064516129122</c:v>
                </c:pt>
                <c:pt idx="35" formatCode="0">
                  <c:v>415.66666666667402</c:v>
                </c:pt>
                <c:pt idx="36" formatCode="0">
                  <c:v>475.19047619047831</c:v>
                </c:pt>
                <c:pt idx="37" formatCode="0">
                  <c:v>554.55555555554815</c:v>
                </c:pt>
                <c:pt idx="38" formatCode="0">
                  <c:v>665.66666666669073</c:v>
                </c:pt>
                <c:pt idx="39" formatCode="0">
                  <c:v>832.33333333334804</c:v>
                </c:pt>
                <c:pt idx="40" formatCode="0">
                  <c:v>1110.1111111110963</c:v>
                </c:pt>
                <c:pt idx="41" formatCode="0">
                  <c:v>1665.6666666665419</c:v>
                </c:pt>
                <c:pt idx="42" formatCode="0">
                  <c:v>2856.142857143172</c:v>
                </c:pt>
                <c:pt idx="43" formatCode="0">
                  <c:v>4999.0000000005502</c:v>
                </c:pt>
                <c:pt idx="44" formatCode="0">
                  <c:v>9999.0000000011005</c:v>
                </c:pt>
                <c:pt idx="45" formatCode="0">
                  <c:v>15000</c:v>
                </c:pt>
                <c:pt idx="46" formatCode="0">
                  <c:v>30000</c:v>
                </c:pt>
                <c:pt idx="47" formatCode="0">
                  <c:v>45000</c:v>
                </c:pt>
                <c:pt idx="48" formatCode="0">
                  <c:v>60000</c:v>
                </c:pt>
                <c:pt idx="49" formatCode="0">
                  <c:v>75000</c:v>
                </c:pt>
                <c:pt idx="50" formatCode="0">
                  <c:v>90000</c:v>
                </c:pt>
                <c:pt idx="51" formatCode="0">
                  <c:v>105000</c:v>
                </c:pt>
                <c:pt idx="52" formatCode="0">
                  <c:v>120000</c:v>
                </c:pt>
                <c:pt idx="53" formatCode="0">
                  <c:v>135000</c:v>
                </c:pt>
                <c:pt idx="54" formatCode="0">
                  <c:v>200000</c:v>
                </c:pt>
                <c:pt idx="55" formatCode="0">
                  <c:v>300000</c:v>
                </c:pt>
                <c:pt idx="56" formatCode="0">
                  <c:v>400000</c:v>
                </c:pt>
                <c:pt idx="57" formatCode="0">
                  <c:v>500000</c:v>
                </c:pt>
                <c:pt idx="58" formatCode="0">
                  <c:v>600000</c:v>
                </c:pt>
                <c:pt idx="59" formatCode="0">
                  <c:v>700000</c:v>
                </c:pt>
              </c:numCache>
            </c:numRef>
          </c:xVal>
          <c:yVal>
            <c:numRef>
              <c:f>'S2 Meteoric Diagenesis'!$AY$26:$AY$85</c:f>
              <c:numCache>
                <c:formatCode>0.00</c:formatCode>
                <c:ptCount val="60"/>
                <c:pt idx="0">
                  <c:v>1</c:v>
                </c:pt>
                <c:pt idx="1">
                  <c:v>0.99999801156917612</c:v>
                </c:pt>
                <c:pt idx="2">
                  <c:v>0.99799550223173461</c:v>
                </c:pt>
                <c:pt idx="3">
                  <c:v>0.99383900808032555</c:v>
                </c:pt>
                <c:pt idx="4">
                  <c:v>0.98815207974914887</c:v>
                </c:pt>
                <c:pt idx="5">
                  <c:v>0.98103994629258662</c:v>
                </c:pt>
                <c:pt idx="6">
                  <c:v>0.97075369693302072</c:v>
                </c:pt>
                <c:pt idx="7">
                  <c:v>0.9681797987373304</c:v>
                </c:pt>
                <c:pt idx="8">
                  <c:v>0.95155184202970899</c:v>
                </c:pt>
                <c:pt idx="9">
                  <c:v>0.94214759787170665</c:v>
                </c:pt>
                <c:pt idx="10">
                  <c:v>0.90545090807013229</c:v>
                </c:pt>
                <c:pt idx="11">
                  <c:v>0.87018355592800212</c:v>
                </c:pt>
                <c:pt idx="12">
                  <c:v>0.85306839802903056</c:v>
                </c:pt>
                <c:pt idx="13">
                  <c:v>0.81984134692502708</c:v>
                </c:pt>
                <c:pt idx="14">
                  <c:v>0.67213983412784262</c:v>
                </c:pt>
                <c:pt idx="15">
                  <c:v>0.55104802693333477</c:v>
                </c:pt>
                <c:pt idx="16">
                  <c:v>0.45177195662140374</c:v>
                </c:pt>
                <c:pt idx="17">
                  <c:v>0.37038132941944646</c:v>
                </c:pt>
                <c:pt idx="18">
                  <c:v>0.24894804532003656</c:v>
                </c:pt>
                <c:pt idx="19">
                  <c:v>0.16732789788786001</c:v>
                </c:pt>
                <c:pt idx="20">
                  <c:v>9.2205707982007779E-2</c:v>
                </c:pt>
                <c:pt idx="21">
                  <c:v>5.0809773455476645E-2</c:v>
                </c:pt>
                <c:pt idx="22">
                  <c:v>2.2954430769470933E-2</c:v>
                </c:pt>
                <c:pt idx="23">
                  <c:v>8.5018925844632578E-3</c:v>
                </c:pt>
                <c:pt idx="24">
                  <c:v>1.6240426261349187E-3</c:v>
                </c:pt>
                <c:pt idx="25">
                  <c:v>5.9259917774828841E-5</c:v>
                </c:pt>
                <c:pt idx="26">
                  <c:v>1.965541651885307E-5</c:v>
                </c:pt>
                <c:pt idx="27">
                  <c:v>4.9474767273337052E-6</c:v>
                </c:pt>
                <c:pt idx="28">
                  <c:v>8.3968089335280449E-7</c:v>
                </c:pt>
                <c:pt idx="29">
                  <c:v>7.8902049727402229E-8</c:v>
                </c:pt>
                <c:pt idx="30">
                  <c:v>2.8790678774778706E-9</c:v>
                </c:pt>
                <c:pt idx="31">
                  <c:v>2.0067782329077826E-11</c:v>
                </c:pt>
                <c:pt idx="32">
                  <c:v>5.1085100725923348E-15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2ED1-6843-8DB0-4D4CA08DAA36}"/>
            </c:ext>
          </c:extLst>
        </c:ser>
        <c:ser>
          <c:idx val="7"/>
          <c:order val="6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'S2 Meteoric Diagenesis'!$H$26:$H$85</c:f>
              <c:numCache>
                <c:formatCode>0.000</c:formatCode>
                <c:ptCount val="60"/>
                <c:pt idx="0" formatCode="0.00">
                  <c:v>0</c:v>
                </c:pt>
                <c:pt idx="1">
                  <c:v>1.001001001001E-5</c:v>
                </c:pt>
                <c:pt idx="2" formatCode="0.00">
                  <c:v>1.0101010101010102E-2</c:v>
                </c:pt>
                <c:pt idx="3" formatCode="0.00">
                  <c:v>3.1111111111110999E-2</c:v>
                </c:pt>
                <c:pt idx="4" formatCode="0.00">
                  <c:v>0.06</c:v>
                </c:pt>
                <c:pt idx="5" formatCode="0.00">
                  <c:v>9.6363636363635999E-2</c:v>
                </c:pt>
                <c:pt idx="6" formatCode="0.00">
                  <c:v>0.14942528735632185</c:v>
                </c:pt>
                <c:pt idx="7" formatCode="0.00">
                  <c:v>0.16279069767441862</c:v>
                </c:pt>
                <c:pt idx="8" formatCode="0.00">
                  <c:v>0.25</c:v>
                </c:pt>
                <c:pt idx="9" formatCode="0.00">
                  <c:v>0.3</c:v>
                </c:pt>
                <c:pt idx="10" formatCode="0.00">
                  <c:v>0.5</c:v>
                </c:pt>
                <c:pt idx="11" formatCode="0.00">
                  <c:v>0.7</c:v>
                </c:pt>
                <c:pt idx="12" formatCode="0.00">
                  <c:v>0.8</c:v>
                </c:pt>
                <c:pt idx="13" formatCode="0">
                  <c:v>1</c:v>
                </c:pt>
                <c:pt idx="14" formatCode="0">
                  <c:v>2</c:v>
                </c:pt>
                <c:pt idx="15" formatCode="0">
                  <c:v>3</c:v>
                </c:pt>
                <c:pt idx="16" formatCode="0">
                  <c:v>4</c:v>
                </c:pt>
                <c:pt idx="17" formatCode="0">
                  <c:v>5</c:v>
                </c:pt>
                <c:pt idx="18" formatCode="0">
                  <c:v>7</c:v>
                </c:pt>
                <c:pt idx="19" formatCode="0">
                  <c:v>9</c:v>
                </c:pt>
                <c:pt idx="20" formatCode="0">
                  <c:v>12</c:v>
                </c:pt>
                <c:pt idx="21" formatCode="0">
                  <c:v>15</c:v>
                </c:pt>
                <c:pt idx="22" formatCode="0">
                  <c:v>18.999999999999982</c:v>
                </c:pt>
                <c:pt idx="23" formatCode="0">
                  <c:v>23.999999999999979</c:v>
                </c:pt>
                <c:pt idx="24" formatCode="0">
                  <c:v>32.3333333333333</c:v>
                </c:pt>
                <c:pt idx="25" formatCode="0">
                  <c:v>48.999999999999957</c:v>
                </c:pt>
                <c:pt idx="26" formatCode="0">
                  <c:v>54.555555555555507</c:v>
                </c:pt>
                <c:pt idx="27" formatCode="0">
                  <c:v>61.499999999999943</c:v>
                </c:pt>
                <c:pt idx="28" formatCode="0">
                  <c:v>70.42857142857136</c:v>
                </c:pt>
                <c:pt idx="29" formatCode="0">
                  <c:v>82.333333333333258</c:v>
                </c:pt>
                <c:pt idx="30" formatCode="0">
                  <c:v>98.999999999999915</c:v>
                </c:pt>
                <c:pt idx="31" formatCode="0">
                  <c:v>123.99999999999989</c:v>
                </c:pt>
                <c:pt idx="32" formatCode="0">
                  <c:v>165.66666666666652</c:v>
                </c:pt>
                <c:pt idx="33" formatCode="0">
                  <c:v>221.22222222222476</c:v>
                </c:pt>
                <c:pt idx="34" formatCode="0">
                  <c:v>321.58064516129122</c:v>
                </c:pt>
                <c:pt idx="35" formatCode="0">
                  <c:v>415.66666666667402</c:v>
                </c:pt>
                <c:pt idx="36" formatCode="0">
                  <c:v>475.19047619047831</c:v>
                </c:pt>
                <c:pt idx="37" formatCode="0">
                  <c:v>554.55555555554815</c:v>
                </c:pt>
                <c:pt idx="38" formatCode="0">
                  <c:v>665.66666666669073</c:v>
                </c:pt>
                <c:pt idx="39" formatCode="0">
                  <c:v>832.33333333334804</c:v>
                </c:pt>
                <c:pt idx="40" formatCode="0">
                  <c:v>1110.1111111110963</c:v>
                </c:pt>
                <c:pt idx="41" formatCode="0">
                  <c:v>1665.6666666665419</c:v>
                </c:pt>
                <c:pt idx="42" formatCode="0">
                  <c:v>2856.142857143172</c:v>
                </c:pt>
                <c:pt idx="43" formatCode="0">
                  <c:v>4999.0000000005502</c:v>
                </c:pt>
                <c:pt idx="44" formatCode="0">
                  <c:v>9999.0000000011005</c:v>
                </c:pt>
                <c:pt idx="45" formatCode="0">
                  <c:v>15000</c:v>
                </c:pt>
                <c:pt idx="46" formatCode="0">
                  <c:v>30000</c:v>
                </c:pt>
                <c:pt idx="47" formatCode="0">
                  <c:v>45000</c:v>
                </c:pt>
                <c:pt idx="48" formatCode="0">
                  <c:v>60000</c:v>
                </c:pt>
                <c:pt idx="49" formatCode="0">
                  <c:v>75000</c:v>
                </c:pt>
                <c:pt idx="50" formatCode="0">
                  <c:v>90000</c:v>
                </c:pt>
                <c:pt idx="51" formatCode="0">
                  <c:v>105000</c:v>
                </c:pt>
                <c:pt idx="52" formatCode="0">
                  <c:v>120000</c:v>
                </c:pt>
                <c:pt idx="53" formatCode="0">
                  <c:v>135000</c:v>
                </c:pt>
                <c:pt idx="54" formatCode="0">
                  <c:v>200000</c:v>
                </c:pt>
                <c:pt idx="55" formatCode="0">
                  <c:v>300000</c:v>
                </c:pt>
                <c:pt idx="56" formatCode="0">
                  <c:v>400000</c:v>
                </c:pt>
                <c:pt idx="57" formatCode="0">
                  <c:v>500000</c:v>
                </c:pt>
                <c:pt idx="58" formatCode="0">
                  <c:v>600000</c:v>
                </c:pt>
                <c:pt idx="59" formatCode="0">
                  <c:v>700000</c:v>
                </c:pt>
              </c:numCache>
            </c:numRef>
          </c:xVal>
          <c:yVal>
            <c:numRef>
              <c:f>'S2 Meteoric Diagenesis'!$BD$26:$BD$85</c:f>
              <c:numCache>
                <c:formatCode>0.00</c:formatCode>
                <c:ptCount val="60"/>
                <c:pt idx="0">
                  <c:v>1</c:v>
                </c:pt>
                <c:pt idx="1">
                  <c:v>0.99999920434480916</c:v>
                </c:pt>
                <c:pt idx="2">
                  <c:v>0.99919743348975765</c:v>
                </c:pt>
                <c:pt idx="3">
                  <c:v>0.99753015777512055</c:v>
                </c:pt>
                <c:pt idx="4">
                  <c:v>0.99524219527123003</c:v>
                </c:pt>
                <c:pt idx="5">
                  <c:v>0.9923697010941116</c:v>
                </c:pt>
                <c:pt idx="6">
                  <c:v>0.988193039533658</c:v>
                </c:pt>
                <c:pt idx="7">
                  <c:v>0.98714377745007487</c:v>
                </c:pt>
                <c:pt idx="8">
                  <c:v>0.98032464056208157</c:v>
                </c:pt>
                <c:pt idx="9">
                  <c:v>0.97643626896392477</c:v>
                </c:pt>
                <c:pt idx="10">
                  <c:v>0.96103640089317433</c:v>
                </c:pt>
                <c:pt idx="11">
                  <c:v>0.94587941189618852</c:v>
                </c:pt>
                <c:pt idx="12">
                  <c:v>0.93839079762664979</c:v>
                </c:pt>
                <c:pt idx="13">
                  <c:v>0.9235909638417058</c:v>
                </c:pt>
                <c:pt idx="14">
                  <c:v>0.85302026849005119</c:v>
                </c:pt>
                <c:pt idx="15">
                  <c:v>0.78784181195123693</c:v>
                </c:pt>
                <c:pt idx="16">
                  <c:v>0.72764357845483885</c:v>
                </c:pt>
                <c:pt idx="17">
                  <c:v>0.67204503395833237</c:v>
                </c:pt>
                <c:pt idx="18">
                  <c:v>0.57326803530454229</c:v>
                </c:pt>
                <c:pt idx="19">
                  <c:v>0.48900925339224477</c:v>
                </c:pt>
                <c:pt idx="20">
                  <c:v>0.38526193625346761</c:v>
                </c:pt>
                <c:pt idx="21">
                  <c:v>0.30352546193377378</c:v>
                </c:pt>
                <c:pt idx="22">
                  <c:v>0.2208583532736495</c:v>
                </c:pt>
                <c:pt idx="23">
                  <c:v>0.1484267595257712</c:v>
                </c:pt>
                <c:pt idx="24">
                  <c:v>7.653195950694866E-2</c:v>
                </c:pt>
                <c:pt idx="25">
                  <c:v>2.034717344733955E-2</c:v>
                </c:pt>
                <c:pt idx="26">
                  <c:v>1.3083517066558338E-2</c:v>
                </c:pt>
                <c:pt idx="27">
                  <c:v>7.5335561197525181E-3</c:v>
                </c:pt>
                <c:pt idx="28">
                  <c:v>3.704954190252656E-3</c:v>
                </c:pt>
                <c:pt idx="29">
                  <c:v>1.4382242114125486E-3</c:v>
                </c:pt>
                <c:pt idx="30">
                  <c:v>3.8237355575766486E-4</c:v>
                </c:pt>
                <c:pt idx="31">
                  <c:v>5.2417913626510217E-5</c:v>
                </c:pt>
                <c:pt idx="32">
                  <c:v>1.9104376404768992E-6</c:v>
                </c:pt>
                <c:pt idx="33">
                  <c:v>2.3085380974699742E-8</c:v>
                </c:pt>
                <c:pt idx="34">
                  <c:v>7.9237824327026576E-12</c:v>
                </c:pt>
                <c:pt idx="35">
                  <c:v>4.4897212679849429E-15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2ED1-6843-8DB0-4D4CA08DAA36}"/>
            </c:ext>
          </c:extLst>
        </c:ser>
        <c:ser>
          <c:idx val="0"/>
          <c:order val="7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'S2 Meteoric Diagenesis'!$H$26:$H$85</c:f>
              <c:numCache>
                <c:formatCode>0.000</c:formatCode>
                <c:ptCount val="60"/>
                <c:pt idx="0" formatCode="0.00">
                  <c:v>0</c:v>
                </c:pt>
                <c:pt idx="1">
                  <c:v>1.001001001001E-5</c:v>
                </c:pt>
                <c:pt idx="2" formatCode="0.00">
                  <c:v>1.0101010101010102E-2</c:v>
                </c:pt>
                <c:pt idx="3" formatCode="0.00">
                  <c:v>3.1111111111110999E-2</c:v>
                </c:pt>
                <c:pt idx="4" formatCode="0.00">
                  <c:v>0.06</c:v>
                </c:pt>
                <c:pt idx="5" formatCode="0.00">
                  <c:v>9.6363636363635999E-2</c:v>
                </c:pt>
                <c:pt idx="6" formatCode="0.00">
                  <c:v>0.14942528735632185</c:v>
                </c:pt>
                <c:pt idx="7" formatCode="0.00">
                  <c:v>0.16279069767441862</c:v>
                </c:pt>
                <c:pt idx="8" formatCode="0.00">
                  <c:v>0.25</c:v>
                </c:pt>
                <c:pt idx="9" formatCode="0.00">
                  <c:v>0.3</c:v>
                </c:pt>
                <c:pt idx="10" formatCode="0.00">
                  <c:v>0.5</c:v>
                </c:pt>
                <c:pt idx="11" formatCode="0.00">
                  <c:v>0.7</c:v>
                </c:pt>
                <c:pt idx="12" formatCode="0.00">
                  <c:v>0.8</c:v>
                </c:pt>
                <c:pt idx="13" formatCode="0">
                  <c:v>1</c:v>
                </c:pt>
                <c:pt idx="14" formatCode="0">
                  <c:v>2</c:v>
                </c:pt>
                <c:pt idx="15" formatCode="0">
                  <c:v>3</c:v>
                </c:pt>
                <c:pt idx="16" formatCode="0">
                  <c:v>4</c:v>
                </c:pt>
                <c:pt idx="17" formatCode="0">
                  <c:v>5</c:v>
                </c:pt>
                <c:pt idx="18" formatCode="0">
                  <c:v>7</c:v>
                </c:pt>
                <c:pt idx="19" formatCode="0">
                  <c:v>9</c:v>
                </c:pt>
                <c:pt idx="20" formatCode="0">
                  <c:v>12</c:v>
                </c:pt>
                <c:pt idx="21" formatCode="0">
                  <c:v>15</c:v>
                </c:pt>
                <c:pt idx="22" formatCode="0">
                  <c:v>18.999999999999982</c:v>
                </c:pt>
                <c:pt idx="23" formatCode="0">
                  <c:v>23.999999999999979</c:v>
                </c:pt>
                <c:pt idx="24" formatCode="0">
                  <c:v>32.3333333333333</c:v>
                </c:pt>
                <c:pt idx="25" formatCode="0">
                  <c:v>48.999999999999957</c:v>
                </c:pt>
                <c:pt idx="26" formatCode="0">
                  <c:v>54.555555555555507</c:v>
                </c:pt>
                <c:pt idx="27" formatCode="0">
                  <c:v>61.499999999999943</c:v>
                </c:pt>
                <c:pt idx="28" formatCode="0">
                  <c:v>70.42857142857136</c:v>
                </c:pt>
                <c:pt idx="29" formatCode="0">
                  <c:v>82.333333333333258</c:v>
                </c:pt>
                <c:pt idx="30" formatCode="0">
                  <c:v>98.999999999999915</c:v>
                </c:pt>
                <c:pt idx="31" formatCode="0">
                  <c:v>123.99999999999989</c:v>
                </c:pt>
                <c:pt idx="32" formatCode="0">
                  <c:v>165.66666666666652</c:v>
                </c:pt>
                <c:pt idx="33" formatCode="0">
                  <c:v>221.22222222222476</c:v>
                </c:pt>
                <c:pt idx="34" formatCode="0">
                  <c:v>321.58064516129122</c:v>
                </c:pt>
                <c:pt idx="35" formatCode="0">
                  <c:v>415.66666666667402</c:v>
                </c:pt>
                <c:pt idx="36" formatCode="0">
                  <c:v>475.19047619047831</c:v>
                </c:pt>
                <c:pt idx="37" formatCode="0">
                  <c:v>554.55555555554815</c:v>
                </c:pt>
                <c:pt idx="38" formatCode="0">
                  <c:v>665.66666666669073</c:v>
                </c:pt>
                <c:pt idx="39" formatCode="0">
                  <c:v>832.33333333334804</c:v>
                </c:pt>
                <c:pt idx="40" formatCode="0">
                  <c:v>1110.1111111110963</c:v>
                </c:pt>
                <c:pt idx="41" formatCode="0">
                  <c:v>1665.6666666665419</c:v>
                </c:pt>
                <c:pt idx="42" formatCode="0">
                  <c:v>2856.142857143172</c:v>
                </c:pt>
                <c:pt idx="43" formatCode="0">
                  <c:v>4999.0000000005502</c:v>
                </c:pt>
                <c:pt idx="44" formatCode="0">
                  <c:v>9999.0000000011005</c:v>
                </c:pt>
                <c:pt idx="45" formatCode="0">
                  <c:v>15000</c:v>
                </c:pt>
                <c:pt idx="46" formatCode="0">
                  <c:v>30000</c:v>
                </c:pt>
                <c:pt idx="47" formatCode="0">
                  <c:v>45000</c:v>
                </c:pt>
                <c:pt idx="48" formatCode="0">
                  <c:v>60000</c:v>
                </c:pt>
                <c:pt idx="49" formatCode="0">
                  <c:v>75000</c:v>
                </c:pt>
                <c:pt idx="50" formatCode="0">
                  <c:v>90000</c:v>
                </c:pt>
                <c:pt idx="51" formatCode="0">
                  <c:v>105000</c:v>
                </c:pt>
                <c:pt idx="52" formatCode="0">
                  <c:v>120000</c:v>
                </c:pt>
                <c:pt idx="53" formatCode="0">
                  <c:v>135000</c:v>
                </c:pt>
                <c:pt idx="54" formatCode="0">
                  <c:v>200000</c:v>
                </c:pt>
                <c:pt idx="55" formatCode="0">
                  <c:v>300000</c:v>
                </c:pt>
                <c:pt idx="56" formatCode="0">
                  <c:v>400000</c:v>
                </c:pt>
                <c:pt idx="57" formatCode="0">
                  <c:v>500000</c:v>
                </c:pt>
                <c:pt idx="58" formatCode="0">
                  <c:v>600000</c:v>
                </c:pt>
                <c:pt idx="59" formatCode="0">
                  <c:v>700000</c:v>
                </c:pt>
              </c:numCache>
            </c:numRef>
          </c:xVal>
          <c:yVal>
            <c:numRef>
              <c:f>'S2 Meteoric Diagenesis'!$BJ$26:$BJ$85</c:f>
              <c:numCache>
                <c:formatCode>0.00</c:formatCode>
                <c:ptCount val="60"/>
                <c:pt idx="0">
                  <c:v>1</c:v>
                </c:pt>
                <c:pt idx="1">
                  <c:v>0.9999999721469055</c:v>
                </c:pt>
                <c:pt idx="2">
                  <c:v>0.99997189409013632</c:v>
                </c:pt>
                <c:pt idx="3">
                  <c:v>0.99991343632793694</c:v>
                </c:pt>
                <c:pt idx="4">
                  <c:v>0.99983306248485504</c:v>
                </c:pt>
                <c:pt idx="5">
                  <c:v>0.99973190179655314</c:v>
                </c:pt>
                <c:pt idx="6">
                  <c:v>0.99958430694922784</c:v>
                </c:pt>
                <c:pt idx="7">
                  <c:v>0.99954713352253555</c:v>
                </c:pt>
                <c:pt idx="8">
                  <c:v>0.99930461085033695</c:v>
                </c:pt>
                <c:pt idx="9">
                  <c:v>0.99916559105909664</c:v>
                </c:pt>
                <c:pt idx="10">
                  <c:v>0.99860970526674331</c:v>
                </c:pt>
                <c:pt idx="11">
                  <c:v>0.99805412874145949</c:v>
                </c:pt>
                <c:pt idx="12">
                  <c:v>0.99777645640019585</c:v>
                </c:pt>
                <c:pt idx="13">
                  <c:v>0.99722134345293201</c:v>
                </c:pt>
                <c:pt idx="14">
                  <c:v>0.99445040783807059</c:v>
                </c:pt>
                <c:pt idx="15">
                  <c:v>0.99168717170159681</c:v>
                </c:pt>
                <c:pt idx="16">
                  <c:v>0.98893161364930482</c:v>
                </c:pt>
                <c:pt idx="17">
                  <c:v>0.98618371234643565</c:v>
                </c:pt>
                <c:pt idx="18">
                  <c:v>0.98071079494617541</c:v>
                </c:pt>
                <c:pt idx="19">
                  <c:v>0.97526825000542272</c:v>
                </c:pt>
                <c:pt idx="20">
                  <c:v>0.96716101249824338</c:v>
                </c:pt>
                <c:pt idx="21">
                  <c:v>0.95912116906443579</c:v>
                </c:pt>
                <c:pt idx="22">
                  <c:v>0.94850524540810022</c:v>
                </c:pt>
                <c:pt idx="23">
                  <c:v>0.93540042409662727</c:v>
                </c:pt>
                <c:pt idx="24">
                  <c:v>0.91396017398310547</c:v>
                </c:pt>
                <c:pt idx="25">
                  <c:v>0.87254270129602096</c:v>
                </c:pt>
                <c:pt idx="26">
                  <c:v>0.85915824627855386</c:v>
                </c:pt>
                <c:pt idx="27">
                  <c:v>0.8427160276085931</c:v>
                </c:pt>
                <c:pt idx="28">
                  <c:v>0.82203755064519424</c:v>
                </c:pt>
                <c:pt idx="29">
                  <c:v>0.79525338585078731</c:v>
                </c:pt>
                <c:pt idx="30">
                  <c:v>0.75921528886868017</c:v>
                </c:pt>
                <c:pt idx="31">
                  <c:v>0.70819698382591934</c:v>
                </c:pt>
                <c:pt idx="32">
                  <c:v>0.63067064764969583</c:v>
                </c:pt>
                <c:pt idx="33">
                  <c:v>0.54034028399094769</c:v>
                </c:pt>
                <c:pt idx="34">
                  <c:v>0.40868690857997098</c:v>
                </c:pt>
                <c:pt idx="35">
                  <c:v>0.3145530456147746</c:v>
                </c:pt>
                <c:pt idx="36">
                  <c:v>0.26654052322363908</c:v>
                </c:pt>
                <c:pt idx="37">
                  <c:v>0.2137251912682879</c:v>
                </c:pt>
                <c:pt idx="38">
                  <c:v>0.15688635403321616</c:v>
                </c:pt>
                <c:pt idx="39">
                  <c:v>9.8668688172179428E-2</c:v>
                </c:pt>
                <c:pt idx="40">
                  <c:v>4.5551532637999874E-2</c:v>
                </c:pt>
                <c:pt idx="41">
                  <c:v>9.7084583869512884E-3</c:v>
                </c:pt>
                <c:pt idx="42">
                  <c:v>3.5362039179279457E-4</c:v>
                </c:pt>
                <c:pt idx="43">
                  <c:v>9.0998440708678493E-7</c:v>
                </c:pt>
                <c:pt idx="44">
                  <c:v>8.2573733249103057E-13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2ED1-6843-8DB0-4D4CA08DAA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37279584"/>
        <c:axId val="2102537344"/>
      </c:scatterChart>
      <c:valAx>
        <c:axId val="2137279584"/>
        <c:scaling>
          <c:logBase val="10"/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02537344"/>
        <c:crosses val="autoZero"/>
        <c:crossBetween val="midCat"/>
      </c:valAx>
      <c:valAx>
        <c:axId val="21025373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372795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165100</xdr:colOff>
      <xdr:row>24</xdr:row>
      <xdr:rowOff>139700</xdr:rowOff>
    </xdr:from>
    <xdr:to>
      <xdr:col>4</xdr:col>
      <xdr:colOff>711200</xdr:colOff>
      <xdr:row>38</xdr:row>
      <xdr:rowOff>114300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C3994088-8AA5-3C41-A41B-DF373DB3B3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I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1 LiCa rivers"/>
      <sheetName val="S2 Meteoric Diagenesis"/>
      <sheetName val="S3 Marine Diagenesis"/>
      <sheetName val="S4 Leaching tests"/>
      <sheetName val="S5 Mass balance of LMC"/>
      <sheetName val="S6 All data"/>
    </sheetNames>
    <sheetDataSet>
      <sheetData sheetId="0"/>
      <sheetData sheetId="1">
        <row r="26">
          <cell r="H26">
            <v>0</v>
          </cell>
          <cell r="P26">
            <v>0.99999999999999856</v>
          </cell>
          <cell r="T26">
            <v>1</v>
          </cell>
          <cell r="AA26">
            <v>1.000000000000381</v>
          </cell>
          <cell r="AJ26">
            <v>1.0000000000000147</v>
          </cell>
          <cell r="AS26">
            <v>1.0001346664990891</v>
          </cell>
          <cell r="AY26">
            <v>1</v>
          </cell>
          <cell r="BD26">
            <v>1</v>
          </cell>
          <cell r="BJ26">
            <v>1</v>
          </cell>
        </row>
        <row r="27">
          <cell r="H27">
            <v>1.001001001001E-5</v>
          </cell>
          <cell r="P27">
            <v>0.999961397704624</v>
          </cell>
          <cell r="T27">
            <v>0.99999992042105823</v>
          </cell>
          <cell r="AA27">
            <v>0.99999992037865992</v>
          </cell>
          <cell r="AJ27">
            <v>0.99999999776782811</v>
          </cell>
          <cell r="AS27">
            <v>1.0001227002856872</v>
          </cell>
          <cell r="AY27">
            <v>0.99999801156917612</v>
          </cell>
          <cell r="BD27">
            <v>0.99999920434480916</v>
          </cell>
          <cell r="BJ27">
            <v>0.9999999721469055</v>
          </cell>
        </row>
        <row r="28">
          <cell r="H28">
            <v>1.0101010101010102E-2</v>
          </cell>
          <cell r="P28">
            <v>0.96178097563418563</v>
          </cell>
          <cell r="T28">
            <v>0.99991970083431281</v>
          </cell>
          <cell r="AA28">
            <v>0.99991968767249195</v>
          </cell>
          <cell r="AJ28">
            <v>0.9999977474968651</v>
          </cell>
          <cell r="AS28">
            <v>0.9881321984722844</v>
          </cell>
          <cell r="AY28">
            <v>0.99799550223173461</v>
          </cell>
          <cell r="BD28">
            <v>0.99919743348975765</v>
          </cell>
          <cell r="BJ28">
            <v>0.99997189409013632</v>
          </cell>
        </row>
        <row r="29">
          <cell r="H29">
            <v>3.1111111111110999E-2</v>
          </cell>
          <cell r="P29">
            <v>0.88682037199364983</v>
          </cell>
          <cell r="T29">
            <v>0.999752699223179</v>
          </cell>
          <cell r="AA29">
            <v>0.99975284884932847</v>
          </cell>
          <cell r="AJ29">
            <v>0.99999306230670659</v>
          </cell>
          <cell r="AS29">
            <v>0.96362646053650358</v>
          </cell>
          <cell r="AY29">
            <v>0.99383900808032555</v>
          </cell>
          <cell r="BD29">
            <v>0.99753015777512055</v>
          </cell>
          <cell r="BJ29">
            <v>0.99991343632793694</v>
          </cell>
        </row>
        <row r="30">
          <cell r="H30">
            <v>0.06</v>
          </cell>
          <cell r="P30">
            <v>0.793049373729379</v>
          </cell>
          <cell r="T30">
            <v>0.99952311754896261</v>
          </cell>
          <cell r="AA30">
            <v>0.99952390828860171</v>
          </cell>
          <cell r="AJ30">
            <v>0.99998662020600726</v>
          </cell>
          <cell r="AS30">
            <v>0.93092031425315103</v>
          </cell>
          <cell r="AY30">
            <v>0.98815207974914887</v>
          </cell>
          <cell r="BD30">
            <v>0.99524219527123003</v>
          </cell>
          <cell r="BJ30">
            <v>0.99983306248485504</v>
          </cell>
        </row>
        <row r="31">
          <cell r="H31">
            <v>9.6363636363635999E-2</v>
          </cell>
          <cell r="P31">
            <v>0.6887934306283825</v>
          </cell>
          <cell r="T31">
            <v>0.99923420856898704</v>
          </cell>
          <cell r="AA31">
            <v>0.99923648822589006</v>
          </cell>
          <cell r="AJ31">
            <v>0.99997851132702642</v>
          </cell>
          <cell r="AS31">
            <v>0.89132514778471383</v>
          </cell>
          <cell r="AY31">
            <v>0.98103994629258662</v>
          </cell>
          <cell r="BD31">
            <v>0.9923697010941116</v>
          </cell>
          <cell r="BJ31">
            <v>0.99973190179655314</v>
          </cell>
        </row>
        <row r="32">
          <cell r="H32">
            <v>0.14942528735632185</v>
          </cell>
          <cell r="P32">
            <v>0.56048916901158385</v>
          </cell>
          <cell r="T32">
            <v>0.99881278373949367</v>
          </cell>
          <cell r="AA32">
            <v>0.99881858628378006</v>
          </cell>
          <cell r="AJ32">
            <v>0.99996667900614056</v>
          </cell>
          <cell r="AS32">
            <v>0.83654995507697549</v>
          </cell>
          <cell r="AY32">
            <v>0.97075369693302072</v>
          </cell>
          <cell r="BD32">
            <v>0.988193039533658</v>
          </cell>
          <cell r="BJ32">
            <v>0.99958430694922784</v>
          </cell>
        </row>
        <row r="33">
          <cell r="H33">
            <v>0.16279069767441862</v>
          </cell>
          <cell r="P33">
            <v>0.53208971072167088</v>
          </cell>
          <cell r="T33">
            <v>0.99870666135965713</v>
          </cell>
          <cell r="AA33">
            <v>0.99871360174969481</v>
          </cell>
          <cell r="AJ33">
            <v>0.99996369864929424</v>
          </cell>
          <cell r="AS33">
            <v>0.82329201188633749</v>
          </cell>
          <cell r="AY33">
            <v>0.9681797987373304</v>
          </cell>
          <cell r="BD33">
            <v>0.98714377745007487</v>
          </cell>
          <cell r="BJ33">
            <v>0.99954713352253555</v>
          </cell>
        </row>
        <row r="34">
          <cell r="H34">
            <v>0.25</v>
          </cell>
          <cell r="P34">
            <v>0.37876077323424867</v>
          </cell>
          <cell r="T34">
            <v>0.99801448959032579</v>
          </cell>
          <cell r="AA34">
            <v>0.99803129762115761</v>
          </cell>
          <cell r="AJ34">
            <v>0.99994425203924286</v>
          </cell>
          <cell r="AS34">
            <v>0.74179446978032715</v>
          </cell>
          <cell r="AY34">
            <v>0.95155184202970899</v>
          </cell>
          <cell r="BD34">
            <v>0.98032464056208157</v>
          </cell>
          <cell r="BJ34">
            <v>0.99930461085033695</v>
          </cell>
        </row>
        <row r="35">
          <cell r="H35">
            <v>0.3</v>
          </cell>
          <cell r="P35">
            <v>0.31156974707733809</v>
          </cell>
          <cell r="T35">
            <v>0.99761786082928161</v>
          </cell>
          <cell r="AA35">
            <v>0.99764221361049943</v>
          </cell>
          <cell r="AJ35">
            <v>0.99993310282004044</v>
          </cell>
          <cell r="AS35">
            <v>0.69876092861806505</v>
          </cell>
          <cell r="AY35">
            <v>0.94214759787170665</v>
          </cell>
          <cell r="BD35">
            <v>0.97643626896392477</v>
          </cell>
          <cell r="BJ35">
            <v>0.99916559105909664</v>
          </cell>
        </row>
        <row r="36">
          <cell r="H36">
            <v>0.5</v>
          </cell>
          <cell r="P36">
            <v>0.14239107849821458</v>
          </cell>
          <cell r="T36">
            <v>0.99603292143223854</v>
          </cell>
          <cell r="AA36">
            <v>0.99610083146902628</v>
          </cell>
          <cell r="AJ36">
            <v>0.99988850718633859</v>
          </cell>
          <cell r="AS36">
            <v>0.55018494391642059</v>
          </cell>
          <cell r="AY36">
            <v>0.90545090807013229</v>
          </cell>
          <cell r="BD36">
            <v>0.96103640089317433</v>
          </cell>
          <cell r="BJ36">
            <v>0.99860970526674331</v>
          </cell>
        </row>
        <row r="37">
          <cell r="H37">
            <v>0.7</v>
          </cell>
          <cell r="P37">
            <v>6.4959906917621865E-2</v>
          </cell>
          <cell r="T37">
            <v>0.99445050006638847</v>
          </cell>
          <cell r="AA37">
            <v>0.99458260008986954</v>
          </cell>
          <cell r="AJ37">
            <v>0.99984391354147906</v>
          </cell>
          <cell r="AS37">
            <v>0.43320034093921378</v>
          </cell>
          <cell r="AY37">
            <v>0.87018355592800212</v>
          </cell>
          <cell r="BD37">
            <v>0.94587941189618852</v>
          </cell>
          <cell r="BJ37">
            <v>0.99805412874145949</v>
          </cell>
        </row>
        <row r="38">
          <cell r="H38">
            <v>0.8</v>
          </cell>
          <cell r="P38">
            <v>4.3861179337787763E-2</v>
          </cell>
          <cell r="T38">
            <v>0.99366023239476986</v>
          </cell>
          <cell r="AA38">
            <v>0.99383185575481625</v>
          </cell>
          <cell r="AJ38">
            <v>0.99982161746491394</v>
          </cell>
          <cell r="AS38">
            <v>0.3843959770622124</v>
          </cell>
          <cell r="AY38">
            <v>0.85306839802903056</v>
          </cell>
          <cell r="BD38">
            <v>0.93839079762664979</v>
          </cell>
          <cell r="BJ38">
            <v>0.99777645640019585</v>
          </cell>
        </row>
        <row r="39">
          <cell r="H39">
            <v>1</v>
          </cell>
          <cell r="P39">
            <v>1.9989322284542463E-2</v>
          </cell>
          <cell r="T39">
            <v>0.99208158057683993</v>
          </cell>
          <cell r="AA39">
            <v>0.99234652058177653</v>
          </cell>
          <cell r="AJ39">
            <v>0.99977702680325264</v>
          </cell>
          <cell r="AS39">
            <v>0.3026627139842229</v>
          </cell>
          <cell r="AY39">
            <v>0.81984134692502708</v>
          </cell>
          <cell r="BD39">
            <v>0.9235909638417058</v>
          </cell>
          <cell r="BJ39">
            <v>0.99722134345293201</v>
          </cell>
        </row>
        <row r="40">
          <cell r="H40">
            <v>2</v>
          </cell>
          <cell r="P40">
            <v>3.9224721717052568E-4</v>
          </cell>
          <cell r="T40">
            <v>0.98422586251984057</v>
          </cell>
          <cell r="AA40">
            <v>0.98521535157106399</v>
          </cell>
          <cell r="AJ40">
            <v>0.99955410332360606</v>
          </cell>
          <cell r="AS40">
            <v>9.1592384010601213E-2</v>
          </cell>
          <cell r="AY40">
            <v>0.67213983412784262</v>
          </cell>
          <cell r="BD40">
            <v>0.85302026849005119</v>
          </cell>
          <cell r="BJ40">
            <v>0.99445040783807059</v>
          </cell>
        </row>
        <row r="41">
          <cell r="H41">
            <v>3</v>
          </cell>
          <cell r="P41">
            <v>7.6941823695485341E-6</v>
          </cell>
          <cell r="T41">
            <v>0.97643234933328715</v>
          </cell>
          <cell r="AA41">
            <v>0.97851016875502617</v>
          </cell>
          <cell r="AJ41">
            <v>0.99933122954980347</v>
          </cell>
          <cell r="AS41">
            <v>2.7717866856860316E-2</v>
          </cell>
          <cell r="AY41">
            <v>0.55104802693333477</v>
          </cell>
          <cell r="BD41">
            <v>0.78784181195123693</v>
          </cell>
          <cell r="BJ41">
            <v>0.99168717170159681</v>
          </cell>
        </row>
        <row r="42">
          <cell r="H42">
            <v>4</v>
          </cell>
          <cell r="P42">
            <v>1.5092526637052693E-7</v>
          </cell>
          <cell r="T42">
            <v>0.96870054845292441</v>
          </cell>
          <cell r="AA42">
            <v>0.97215739124962519</v>
          </cell>
          <cell r="AJ42">
            <v>0.999108405470997</v>
          </cell>
          <cell r="AS42">
            <v>8.388035221407528E-3</v>
          </cell>
          <cell r="AY42">
            <v>0.45177195662140374</v>
          </cell>
          <cell r="BD42">
            <v>0.72764357845483885</v>
          </cell>
          <cell r="BJ42">
            <v>0.98893161364930482</v>
          </cell>
        </row>
        <row r="43">
          <cell r="H43">
            <v>5</v>
          </cell>
          <cell r="P43">
            <v>2.9604718318387182E-9</v>
          </cell>
          <cell r="T43">
            <v>0.9610299712148288</v>
          </cell>
          <cell r="AA43">
            <v>0.96609984299742957</v>
          </cell>
          <cell r="AJ43">
            <v>0.99888563107594786</v>
          </cell>
          <cell r="AS43">
            <v>2.5384036671930311E-3</v>
          </cell>
          <cell r="AY43">
            <v>0.37038132941944646</v>
          </cell>
          <cell r="BD43">
            <v>0.67204503395833237</v>
          </cell>
          <cell r="BJ43">
            <v>0.98618371234643565</v>
          </cell>
        </row>
        <row r="44">
          <cell r="H44">
            <v>7</v>
          </cell>
          <cell r="P44">
            <v>1.145499465891474E-12</v>
          </cell>
          <cell r="T44">
            <v>0.94587055232633277</v>
          </cell>
          <cell r="AA44">
            <v>0.95469907353992356</v>
          </cell>
          <cell r="AJ44">
            <v>0.99844023129288317</v>
          </cell>
          <cell r="AS44">
            <v>2.3246713792152314E-4</v>
          </cell>
          <cell r="AY44">
            <v>0.24894804532003656</v>
          </cell>
          <cell r="BD44">
            <v>0.57326803530454229</v>
          </cell>
          <cell r="BJ44">
            <v>0.98071079494617541</v>
          </cell>
        </row>
        <row r="45">
          <cell r="H45">
            <v>9</v>
          </cell>
          <cell r="P45">
            <v>-1.8444027667159893E-14</v>
          </cell>
          <cell r="T45">
            <v>0.93095026019550287</v>
          </cell>
          <cell r="AA45">
            <v>0.94404323564306303</v>
          </cell>
          <cell r="AJ45">
            <v>0.99799503011213231</v>
          </cell>
          <cell r="AS45">
            <v>2.1289352420098596E-5</v>
          </cell>
          <cell r="AY45">
            <v>0.16732789788786001</v>
          </cell>
          <cell r="BD45">
            <v>0.48900925339224477</v>
          </cell>
          <cell r="BJ45">
            <v>0.97526825000542272</v>
          </cell>
        </row>
        <row r="46">
          <cell r="H46">
            <v>12</v>
          </cell>
          <cell r="P46">
            <v>-1.8444027667159893E-14</v>
          </cell>
          <cell r="T46">
            <v>0.90900994967512971</v>
          </cell>
          <cell r="AA46">
            <v>0.92908622711615574</v>
          </cell>
          <cell r="AJ46">
            <v>0.99732760052657332</v>
          </cell>
          <cell r="AS46">
            <v>5.9001597484678444E-7</v>
          </cell>
          <cell r="AY46">
            <v>9.2205707982007779E-2</v>
          </cell>
          <cell r="BD46">
            <v>0.38526193625346761</v>
          </cell>
          <cell r="BJ46">
            <v>0.96716101249824338</v>
          </cell>
        </row>
        <row r="47">
          <cell r="H47">
            <v>15</v>
          </cell>
          <cell r="P47">
            <v>-1.8444027667159893E-14</v>
          </cell>
          <cell r="T47">
            <v>0.88758672072861999</v>
          </cell>
          <cell r="AA47">
            <v>0.91503546906504762</v>
          </cell>
          <cell r="AJ47">
            <v>0.99666061729821198</v>
          </cell>
          <cell r="AS47">
            <v>1.6351778204879448E-8</v>
          </cell>
          <cell r="AY47">
            <v>5.0809773455476645E-2</v>
          </cell>
          <cell r="BD47">
            <v>0.30352546193377378</v>
          </cell>
          <cell r="BJ47">
            <v>0.95912116906443579</v>
          </cell>
        </row>
        <row r="48">
          <cell r="H48">
            <v>18.999999999999982</v>
          </cell>
          <cell r="P48">
            <v>-1.8444027667159893E-14</v>
          </cell>
          <cell r="T48">
            <v>0.85980574316934688</v>
          </cell>
          <cell r="AA48">
            <v>0.89731522558977173</v>
          </cell>
          <cell r="AJ48">
            <v>0.99577200014453637</v>
          </cell>
          <cell r="AS48">
            <v>1.3716256092993749E-10</v>
          </cell>
          <cell r="AY48">
            <v>2.2954430769470933E-2</v>
          </cell>
          <cell r="BD48">
            <v>0.2208583532736495</v>
          </cell>
          <cell r="BJ48">
            <v>0.94850524540810022</v>
          </cell>
        </row>
        <row r="49">
          <cell r="H49">
            <v>23.999999999999979</v>
          </cell>
          <cell r="P49">
            <v>-1.8444027667159893E-14</v>
          </cell>
          <cell r="T49">
            <v>0.82629908860838197</v>
          </cell>
          <cell r="AA49">
            <v>0.87634139230556696</v>
          </cell>
          <cell r="AJ49">
            <v>0.99466234277210519</v>
          </cell>
          <cell r="AS49">
            <v>3.6206871846233124E-13</v>
          </cell>
          <cell r="AY49">
            <v>8.5018925844632578E-3</v>
          </cell>
          <cell r="BD49">
            <v>0.1484267595257712</v>
          </cell>
          <cell r="BJ49">
            <v>0.93540042409662727</v>
          </cell>
        </row>
        <row r="50">
          <cell r="H50">
            <v>32.3333333333333</v>
          </cell>
          <cell r="P50">
            <v>-1.8444027667159893E-14</v>
          </cell>
          <cell r="T50">
            <v>0.77333113174848378</v>
          </cell>
          <cell r="AA50">
            <v>0.84339843614729915</v>
          </cell>
          <cell r="AJ50">
            <v>0.99281566106570085</v>
          </cell>
          <cell r="AS50">
            <v>2.0494455762018751E-14</v>
          </cell>
          <cell r="AY50">
            <v>1.6240426261349187E-3</v>
          </cell>
          <cell r="BD50">
            <v>7.653195950694866E-2</v>
          </cell>
          <cell r="BJ50">
            <v>0.91396017398310547</v>
          </cell>
        </row>
        <row r="51">
          <cell r="H51">
            <v>48.999999999999957</v>
          </cell>
          <cell r="P51">
            <v>-1.8444027667159893E-14</v>
          </cell>
          <cell r="T51">
            <v>0.67736372314980875</v>
          </cell>
          <cell r="AA51">
            <v>0.78244569186250257</v>
          </cell>
          <cell r="AJ51">
            <v>0.98913257688852618</v>
          </cell>
          <cell r="AS51">
            <v>2.0494455762018751E-14</v>
          </cell>
          <cell r="AY51">
            <v>5.9259917774828841E-5</v>
          </cell>
          <cell r="BD51">
            <v>2.034717344733955E-2</v>
          </cell>
          <cell r="BJ51">
            <v>0.87254270129602096</v>
          </cell>
        </row>
        <row r="52">
          <cell r="H52">
            <v>54.555555555555507</v>
          </cell>
          <cell r="P52">
            <v>-1.8444027667159893E-14</v>
          </cell>
          <cell r="T52">
            <v>0.64809809849963851</v>
          </cell>
          <cell r="AA52">
            <v>0.76321349124980331</v>
          </cell>
          <cell r="AJ52">
            <v>0.9879079209521241</v>
          </cell>
          <cell r="AS52">
            <v>2.0494455762018751E-14</v>
          </cell>
          <cell r="AY52">
            <v>1.965541651885307E-5</v>
          </cell>
          <cell r="BD52">
            <v>1.3083517066558338E-2</v>
          </cell>
          <cell r="BJ52">
            <v>0.85915824627855386</v>
          </cell>
        </row>
        <row r="53">
          <cell r="H53">
            <v>61.499999999999943</v>
          </cell>
          <cell r="P53">
            <v>-1.8444027667159893E-14</v>
          </cell>
          <cell r="T53">
            <v>0.61328771316204966</v>
          </cell>
          <cell r="AA53">
            <v>0.73980916317952194</v>
          </cell>
          <cell r="AJ53">
            <v>0.98637923305216024</v>
          </cell>
          <cell r="AS53">
            <v>2.0494455762018751E-14</v>
          </cell>
          <cell r="AY53">
            <v>4.9474767273337052E-6</v>
          </cell>
          <cell r="BD53">
            <v>7.5335561197525181E-3</v>
          </cell>
          <cell r="BJ53">
            <v>0.8427160276085931</v>
          </cell>
        </row>
        <row r="54">
          <cell r="H54">
            <v>70.42857142857136</v>
          </cell>
          <cell r="P54">
            <v>-1.8444027667159893E-14</v>
          </cell>
          <cell r="T54">
            <v>0.57126465818567207</v>
          </cell>
          <cell r="AA54">
            <v>0.7106708511414298</v>
          </cell>
          <cell r="AJ54">
            <v>0.98441725249103229</v>
          </cell>
          <cell r="AS54">
            <v>2.0494455762018751E-14</v>
          </cell>
          <cell r="AY54">
            <v>8.3968089335280449E-7</v>
          </cell>
          <cell r="BD54">
            <v>3.704954190252656E-3</v>
          </cell>
          <cell r="BJ54">
            <v>0.82203755064519424</v>
          </cell>
        </row>
        <row r="55">
          <cell r="H55">
            <v>82.333333333333258</v>
          </cell>
          <cell r="P55">
            <v>-1.8444027667159893E-14</v>
          </cell>
          <cell r="T55">
            <v>0.51967857705611031</v>
          </cell>
          <cell r="AA55">
            <v>0.67335696252342314</v>
          </cell>
          <cell r="AJ55">
            <v>0.98180734765889521</v>
          </cell>
          <cell r="AS55">
            <v>2.0494455762018751E-14</v>
          </cell>
          <cell r="AY55">
            <v>7.8902049727402229E-8</v>
          </cell>
          <cell r="BD55">
            <v>1.4382242114125486E-3</v>
          </cell>
          <cell r="BJ55">
            <v>0.79525338585078731</v>
          </cell>
        </row>
        <row r="56">
          <cell r="H56">
            <v>98.999999999999915</v>
          </cell>
          <cell r="P56">
            <v>-1.8444027667159893E-14</v>
          </cell>
          <cell r="T56">
            <v>0.45518847146374669</v>
          </cell>
          <cell r="AA56">
            <v>0.62384946247353956</v>
          </cell>
          <cell r="AJ56">
            <v>0.97816510142019486</v>
          </cell>
          <cell r="AS56">
            <v>2.0494455762018751E-14</v>
          </cell>
          <cell r="AY56">
            <v>2.8790678774778706E-9</v>
          </cell>
          <cell r="BD56">
            <v>3.8237355575766486E-4</v>
          </cell>
          <cell r="BJ56">
            <v>0.75921528886868017</v>
          </cell>
        </row>
        <row r="57">
          <cell r="H57">
            <v>123.99999999999989</v>
          </cell>
          <cell r="P57">
            <v>-1.8444027667159893E-14</v>
          </cell>
          <cell r="T57">
            <v>0.37314352879757756</v>
          </cell>
          <cell r="AA57">
            <v>0.55512842501508841</v>
          </cell>
          <cell r="AJ57">
            <v>0.9727270509645477</v>
          </cell>
          <cell r="AS57">
            <v>2.0494455762018751E-14</v>
          </cell>
          <cell r="AY57">
            <v>2.0067782329077826E-11</v>
          </cell>
          <cell r="BD57">
            <v>5.2417913626510217E-5</v>
          </cell>
          <cell r="BJ57">
            <v>0.70819698382591934</v>
          </cell>
        </row>
        <row r="58">
          <cell r="H58">
            <v>165.66666666666652</v>
          </cell>
          <cell r="P58">
            <v>-1.8444027667159893E-14</v>
          </cell>
          <cell r="T58">
            <v>0.26792732898911698</v>
          </cell>
          <cell r="AA58">
            <v>0.45417113411949878</v>
          </cell>
          <cell r="AJ58">
            <v>0.96373073386992603</v>
          </cell>
          <cell r="AS58">
            <v>2.0494455762018751E-14</v>
          </cell>
          <cell r="AY58">
            <v>5.1085100725923348E-15</v>
          </cell>
          <cell r="BD58">
            <v>1.9104376404768992E-6</v>
          </cell>
          <cell r="BJ58">
            <v>0.63067064764969583</v>
          </cell>
        </row>
        <row r="59">
          <cell r="H59">
            <v>221.22222222222476</v>
          </cell>
          <cell r="P59">
            <v>-1.8444027667159893E-14</v>
          </cell>
          <cell r="T59">
            <v>0.17226821282610322</v>
          </cell>
          <cell r="AA59">
            <v>0.34329672671279465</v>
          </cell>
          <cell r="AJ59">
            <v>0.95186493795256499</v>
          </cell>
          <cell r="AS59">
            <v>2.0494455762018751E-14</v>
          </cell>
          <cell r="AY59">
            <v>0</v>
          </cell>
          <cell r="BD59">
            <v>2.3085380974699742E-8</v>
          </cell>
          <cell r="BJ59">
            <v>0.54034028399094769</v>
          </cell>
        </row>
        <row r="60">
          <cell r="H60">
            <v>321.58064516129122</v>
          </cell>
          <cell r="P60">
            <v>-1.8444027667159893E-14</v>
          </cell>
          <cell r="T60">
            <v>7.7572232931673521E-2</v>
          </cell>
          <cell r="AA60">
            <v>0.20022037045872615</v>
          </cell>
          <cell r="AJ60">
            <v>0.93079905792316064</v>
          </cell>
          <cell r="AS60">
            <v>2.0494455762018751E-14</v>
          </cell>
          <cell r="AY60">
            <v>0</v>
          </cell>
          <cell r="BD60">
            <v>7.9237824327026576E-12</v>
          </cell>
          <cell r="BJ60">
            <v>0.40868690857997098</v>
          </cell>
        </row>
        <row r="61">
          <cell r="H61">
            <v>415.66666666667402</v>
          </cell>
          <cell r="P61">
            <v>-1.8444027667159893E-14</v>
          </cell>
          <cell r="T61">
            <v>3.6716697882644971E-2</v>
          </cell>
          <cell r="AA61">
            <v>0.11663942185013913</v>
          </cell>
          <cell r="AJ61">
            <v>0.91147340739623273</v>
          </cell>
          <cell r="AS61">
            <v>2.0494455762018751E-14</v>
          </cell>
          <cell r="AY61">
            <v>0</v>
          </cell>
          <cell r="BD61">
            <v>4.4897212679849429E-15</v>
          </cell>
          <cell r="BJ61">
            <v>0.3145530456147746</v>
          </cell>
        </row>
        <row r="62">
          <cell r="H62">
            <v>475.19047619047831</v>
          </cell>
          <cell r="P62">
            <v>-1.8444027667159893E-14</v>
          </cell>
          <cell r="T62">
            <v>2.2874462719670533E-2</v>
          </cell>
          <cell r="AA62">
            <v>8.1637171999444438E-2</v>
          </cell>
          <cell r="AJ62">
            <v>0.89945473089206507</v>
          </cell>
          <cell r="AS62">
            <v>2.0494455762018751E-14</v>
          </cell>
          <cell r="AY62">
            <v>0</v>
          </cell>
          <cell r="BD62">
            <v>0</v>
          </cell>
          <cell r="BJ62">
            <v>0.26654052322363908</v>
          </cell>
        </row>
        <row r="63">
          <cell r="H63">
            <v>554.55555555554815</v>
          </cell>
          <cell r="P63">
            <v>-1.8444027667159893E-14</v>
          </cell>
          <cell r="T63">
            <v>1.217121544811571E-2</v>
          </cell>
          <cell r="AA63">
            <v>4.995521214035388E-2</v>
          </cell>
          <cell r="AJ63">
            <v>0.88367598841606276</v>
          </cell>
          <cell r="AS63">
            <v>2.0494455762018751E-14</v>
          </cell>
          <cell r="AY63">
            <v>0</v>
          </cell>
          <cell r="BD63">
            <v>0</v>
          </cell>
          <cell r="BJ63">
            <v>0.2137251912682879</v>
          </cell>
        </row>
        <row r="64">
          <cell r="H64">
            <v>665.66666666669073</v>
          </cell>
          <cell r="P64">
            <v>-1.8444027667159893E-14</v>
          </cell>
          <cell r="T64">
            <v>5.0316476056836571E-3</v>
          </cell>
          <cell r="AA64">
            <v>2.449994496558518E-2</v>
          </cell>
          <cell r="AJ64">
            <v>0.86204968171386587</v>
          </cell>
          <cell r="AS64">
            <v>2.0494455762018751E-14</v>
          </cell>
          <cell r="AY64">
            <v>0</v>
          </cell>
          <cell r="BD64">
            <v>0</v>
          </cell>
          <cell r="BJ64">
            <v>0.15688635403321616</v>
          </cell>
        </row>
        <row r="65">
          <cell r="H65">
            <v>832.33333333334804</v>
          </cell>
          <cell r="P65">
            <v>-1.8444027667159893E-14</v>
          </cell>
          <cell r="T65">
            <v>1.3374409562513299E-3</v>
          </cell>
          <cell r="AA65">
            <v>8.0673218541636536E-3</v>
          </cell>
          <cell r="AJ65">
            <v>0.83059852987696758</v>
          </cell>
          <cell r="AS65">
            <v>2.0494455762018751E-14</v>
          </cell>
          <cell r="AY65">
            <v>0</v>
          </cell>
          <cell r="BD65">
            <v>0</v>
          </cell>
          <cell r="BJ65">
            <v>9.8668688172179428E-2</v>
          </cell>
        </row>
        <row r="66">
          <cell r="H66">
            <v>1110.1111111110963</v>
          </cell>
          <cell r="P66">
            <v>-1.8444027667159893E-14</v>
          </cell>
          <cell r="T66">
            <v>1.4696546282359454E-4</v>
          </cell>
          <cell r="AA66">
            <v>1.1724433769769564E-3</v>
          </cell>
          <cell r="AJ66">
            <v>0.78070913646793294</v>
          </cell>
          <cell r="AS66">
            <v>2.0494455762018751E-14</v>
          </cell>
          <cell r="AY66">
            <v>0</v>
          </cell>
          <cell r="BD66">
            <v>0</v>
          </cell>
          <cell r="BJ66">
            <v>4.5551532637999874E-2</v>
          </cell>
        </row>
        <row r="67">
          <cell r="H67">
            <v>1665.6666666665419</v>
          </cell>
          <cell r="P67">
            <v>-1.8444027667159893E-14</v>
          </cell>
          <cell r="T67">
            <v>1.7745842520707929E-6</v>
          </cell>
          <cell r="AA67">
            <v>2.1014238246027069E-5</v>
          </cell>
          <cell r="AJ67">
            <v>0.68974008998147129</v>
          </cell>
          <cell r="AS67">
            <v>2.0494455762018751E-14</v>
          </cell>
          <cell r="AY67">
            <v>0</v>
          </cell>
          <cell r="BD67">
            <v>0</v>
          </cell>
          <cell r="BJ67">
            <v>9.7084583869512884E-3</v>
          </cell>
        </row>
        <row r="68">
          <cell r="H68">
            <v>2856.142857143172</v>
          </cell>
          <cell r="P68">
            <v>-1.8444027667159893E-14</v>
          </cell>
          <cell r="T68">
            <v>1.3767099329162609E-10</v>
          </cell>
          <cell r="AA68">
            <v>2.7470249016185098E-9</v>
          </cell>
          <cell r="AJ68">
            <v>0.52892199616960045</v>
          </cell>
          <cell r="AS68">
            <v>2.0494455762018751E-14</v>
          </cell>
          <cell r="AY68">
            <v>0</v>
          </cell>
          <cell r="BD68">
            <v>0</v>
          </cell>
          <cell r="BJ68">
            <v>3.5362039179279457E-4</v>
          </cell>
        </row>
        <row r="69">
          <cell r="H69">
            <v>4999.0000000005502</v>
          </cell>
          <cell r="P69">
            <v>-1.8444027667159893E-14</v>
          </cell>
          <cell r="T69">
            <v>0</v>
          </cell>
          <cell r="AA69">
            <v>0</v>
          </cell>
          <cell r="AJ69">
            <v>0.32799159473440487</v>
          </cell>
          <cell r="AS69">
            <v>2.0494455762018751E-14</v>
          </cell>
          <cell r="AY69">
            <v>0</v>
          </cell>
          <cell r="BD69">
            <v>0</v>
          </cell>
          <cell r="BJ69">
            <v>9.0998440708678493E-7</v>
          </cell>
        </row>
        <row r="70">
          <cell r="H70">
            <v>9999.0000000011005</v>
          </cell>
          <cell r="P70">
            <v>-1.8444027667159893E-14</v>
          </cell>
          <cell r="T70">
            <v>0</v>
          </cell>
          <cell r="AA70">
            <v>0</v>
          </cell>
          <cell r="AJ70">
            <v>0.10755449909743686</v>
          </cell>
          <cell r="AS70">
            <v>2.0494455762018751E-14</v>
          </cell>
          <cell r="AY70">
            <v>0</v>
          </cell>
          <cell r="BD70">
            <v>0</v>
          </cell>
          <cell r="BJ70">
            <v>8.2573733249103057E-13</v>
          </cell>
        </row>
        <row r="71">
          <cell r="H71">
            <v>15000</v>
          </cell>
          <cell r="P71">
            <v>-1.8444027667159893E-14</v>
          </cell>
          <cell r="T71">
            <v>0</v>
          </cell>
          <cell r="AA71">
            <v>0</v>
          </cell>
          <cell r="AJ71">
            <v>3.5261241795427278E-2</v>
          </cell>
          <cell r="AS71">
            <v>2.0494455762018751E-14</v>
          </cell>
          <cell r="AY71">
            <v>0</v>
          </cell>
          <cell r="BD71">
            <v>0</v>
          </cell>
          <cell r="BJ71">
            <v>0</v>
          </cell>
        </row>
        <row r="72">
          <cell r="H72">
            <v>30000</v>
          </cell>
          <cell r="P72">
            <v>-1.8444027667159893E-14</v>
          </cell>
          <cell r="T72">
            <v>0</v>
          </cell>
          <cell r="AA72">
            <v>0</v>
          </cell>
          <cell r="AJ72">
            <v>1.2433551729495098E-3</v>
          </cell>
          <cell r="AS72">
            <v>2.0494455762018751E-14</v>
          </cell>
          <cell r="AY72">
            <v>0</v>
          </cell>
          <cell r="BD72">
            <v>0</v>
          </cell>
          <cell r="BJ72">
            <v>0</v>
          </cell>
        </row>
        <row r="73">
          <cell r="H73">
            <v>45000</v>
          </cell>
          <cell r="P73">
            <v>-1.8444027667159893E-14</v>
          </cell>
          <cell r="T73">
            <v>0</v>
          </cell>
          <cell r="AA73">
            <v>0</v>
          </cell>
          <cell r="AJ73">
            <v>4.3842247412937473E-5</v>
          </cell>
          <cell r="AS73">
            <v>2.0494455762018751E-14</v>
          </cell>
          <cell r="AY73">
            <v>0</v>
          </cell>
          <cell r="BD73">
            <v>0</v>
          </cell>
          <cell r="BJ73">
            <v>0</v>
          </cell>
        </row>
        <row r="74">
          <cell r="H74">
            <v>60000</v>
          </cell>
          <cell r="P74">
            <v>-1.8444027667159893E-14</v>
          </cell>
          <cell r="T74">
            <v>0</v>
          </cell>
          <cell r="AA74">
            <v>0</v>
          </cell>
          <cell r="AJ74">
            <v>1.5459321529770519E-6</v>
          </cell>
          <cell r="AS74">
            <v>2.0494455762018751E-14</v>
          </cell>
          <cell r="AY74">
            <v>0</v>
          </cell>
          <cell r="BD74">
            <v>0</v>
          </cell>
          <cell r="BJ74">
            <v>0</v>
          </cell>
        </row>
        <row r="75">
          <cell r="H75">
            <v>75000</v>
          </cell>
          <cell r="P75">
            <v>-1.8444027667159893E-14</v>
          </cell>
          <cell r="T75">
            <v>0</v>
          </cell>
          <cell r="AA75">
            <v>0</v>
          </cell>
          <cell r="AJ75">
            <v>5.4511534054928349E-8</v>
          </cell>
          <cell r="AS75">
            <v>2.0494455762018751E-14</v>
          </cell>
          <cell r="AY75">
            <v>0</v>
          </cell>
          <cell r="BD75">
            <v>0</v>
          </cell>
          <cell r="BJ75">
            <v>0</v>
          </cell>
        </row>
        <row r="76">
          <cell r="H76">
            <v>90000</v>
          </cell>
          <cell r="P76">
            <v>-1.8444027667159893E-14</v>
          </cell>
          <cell r="T76">
            <v>0</v>
          </cell>
          <cell r="AA76">
            <v>0</v>
          </cell>
          <cell r="AJ76">
            <v>1.9221423797446704E-9</v>
          </cell>
          <cell r="AS76">
            <v>2.0494455762018751E-14</v>
          </cell>
          <cell r="AY76">
            <v>0</v>
          </cell>
          <cell r="BD76">
            <v>0</v>
          </cell>
          <cell r="BJ76">
            <v>0</v>
          </cell>
        </row>
        <row r="77">
          <cell r="H77">
            <v>105000</v>
          </cell>
          <cell r="P77">
            <v>-1.8444027667159893E-14</v>
          </cell>
          <cell r="T77">
            <v>0</v>
          </cell>
          <cell r="AA77">
            <v>0</v>
          </cell>
          <cell r="AJ77">
            <v>6.7774657925885305E-11</v>
          </cell>
          <cell r="AS77">
            <v>2.0494455762018751E-14</v>
          </cell>
          <cell r="AY77">
            <v>0</v>
          </cell>
          <cell r="BD77">
            <v>0</v>
          </cell>
          <cell r="BJ77">
            <v>0</v>
          </cell>
        </row>
        <row r="78">
          <cell r="H78">
            <v>120000</v>
          </cell>
          <cell r="P78">
            <v>-1.8444027667159893E-14</v>
          </cell>
          <cell r="T78">
            <v>0</v>
          </cell>
          <cell r="AA78">
            <v>0</v>
          </cell>
          <cell r="AJ78">
            <v>2.426796743106813E-12</v>
          </cell>
          <cell r="AS78">
            <v>2.0494455762018751E-14</v>
          </cell>
          <cell r="AY78">
            <v>0</v>
          </cell>
          <cell r="BD78">
            <v>0</v>
          </cell>
          <cell r="BJ78">
            <v>0</v>
          </cell>
        </row>
        <row r="79">
          <cell r="H79">
            <v>135000</v>
          </cell>
          <cell r="P79">
            <v>-1.8444027667159893E-14</v>
          </cell>
          <cell r="T79">
            <v>0</v>
          </cell>
          <cell r="AA79">
            <v>0</v>
          </cell>
          <cell r="AJ79">
            <v>8.1310200155640639E-14</v>
          </cell>
          <cell r="AS79">
            <v>2.0494455762018751E-14</v>
          </cell>
          <cell r="AY79">
            <v>0</v>
          </cell>
          <cell r="BD79">
            <v>0</v>
          </cell>
          <cell r="BJ79">
            <v>0</v>
          </cell>
        </row>
        <row r="80">
          <cell r="H80">
            <v>200000</v>
          </cell>
          <cell r="P80">
            <v>-1.8444027667159893E-14</v>
          </cell>
          <cell r="T80">
            <v>0</v>
          </cell>
          <cell r="AA80">
            <v>0</v>
          </cell>
          <cell r="AJ80">
            <v>1.6157796184774741E-14</v>
          </cell>
          <cell r="AS80">
            <v>2.0494455762018751E-14</v>
          </cell>
          <cell r="AY80">
            <v>0</v>
          </cell>
          <cell r="BD80">
            <v>0</v>
          </cell>
          <cell r="BJ80">
            <v>0</v>
          </cell>
        </row>
        <row r="81">
          <cell r="H81">
            <v>300000</v>
          </cell>
          <cell r="P81">
            <v>-1.8444027667159893E-14</v>
          </cell>
          <cell r="T81">
            <v>0</v>
          </cell>
          <cell r="AA81">
            <v>0</v>
          </cell>
          <cell r="AJ81">
            <v>1.6157796184774741E-14</v>
          </cell>
          <cell r="AS81">
            <v>2.0494455762018751E-14</v>
          </cell>
          <cell r="AY81">
            <v>0</v>
          </cell>
          <cell r="BD81">
            <v>0</v>
          </cell>
          <cell r="BJ81">
            <v>0</v>
          </cell>
        </row>
        <row r="82">
          <cell r="H82">
            <v>400000</v>
          </cell>
          <cell r="P82">
            <v>-1.8444027667159893E-14</v>
          </cell>
          <cell r="T82">
            <v>0</v>
          </cell>
          <cell r="AA82">
            <v>0</v>
          </cell>
          <cell r="AJ82">
            <v>1.6157796184774741E-14</v>
          </cell>
          <cell r="AS82">
            <v>2.0494455762018751E-14</v>
          </cell>
          <cell r="AY82">
            <v>0</v>
          </cell>
          <cell r="BD82">
            <v>0</v>
          </cell>
          <cell r="BJ82">
            <v>0</v>
          </cell>
        </row>
        <row r="83">
          <cell r="H83">
            <v>500000</v>
          </cell>
          <cell r="P83">
            <v>-1.8444027667159893E-14</v>
          </cell>
          <cell r="T83">
            <v>0</v>
          </cell>
          <cell r="AA83">
            <v>0</v>
          </cell>
          <cell r="AJ83">
            <v>1.6157796184774741E-14</v>
          </cell>
          <cell r="AS83">
            <v>2.0494455762018751E-14</v>
          </cell>
          <cell r="AY83">
            <v>0</v>
          </cell>
          <cell r="BD83">
            <v>0</v>
          </cell>
          <cell r="BJ83">
            <v>0</v>
          </cell>
        </row>
        <row r="84">
          <cell r="H84">
            <v>600000</v>
          </cell>
          <cell r="P84">
            <v>-1.8444027667159893E-14</v>
          </cell>
          <cell r="T84">
            <v>0</v>
          </cell>
          <cell r="AA84">
            <v>0</v>
          </cell>
          <cell r="AJ84">
            <v>1.6157796184774741E-14</v>
          </cell>
          <cell r="AS84">
            <v>2.0494455762018751E-14</v>
          </cell>
          <cell r="AY84">
            <v>0</v>
          </cell>
          <cell r="BD84">
            <v>0</v>
          </cell>
          <cell r="BJ84">
            <v>0</v>
          </cell>
        </row>
        <row r="85">
          <cell r="H85">
            <v>700000</v>
          </cell>
          <cell r="P85">
            <v>-1.8444027667159893E-14</v>
          </cell>
          <cell r="T85">
            <v>0</v>
          </cell>
          <cell r="AA85">
            <v>0</v>
          </cell>
          <cell r="AJ85">
            <v>1.6157796184774741E-14</v>
          </cell>
          <cell r="AS85">
            <v>2.0494455762018751E-14</v>
          </cell>
          <cell r="AY85">
            <v>0</v>
          </cell>
          <cell r="BD85">
            <v>0</v>
          </cell>
          <cell r="BJ85">
            <v>0</v>
          </cell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AF30C2-F556-DD44-B366-9874F4EF01A2}">
  <dimension ref="A1:CB93"/>
  <sheetViews>
    <sheetView tabSelected="1" workbookViewId="0">
      <pane xSplit="8" ySplit="1" topLeftCell="Q2" activePane="bottomRight" state="frozen"/>
      <selection pane="topRight" activeCell="I1" sqref="I1"/>
      <selection pane="bottomLeft" activeCell="A2" sqref="A2"/>
      <selection pane="bottomRight" activeCell="T16" sqref="T16"/>
    </sheetView>
  </sheetViews>
  <sheetFormatPr baseColWidth="10" defaultRowHeight="16" x14ac:dyDescent="0.2"/>
  <cols>
    <col min="1" max="1" width="15.83203125" customWidth="1"/>
    <col min="4" max="4" width="15.5" customWidth="1"/>
    <col min="6" max="6" width="19.33203125" customWidth="1"/>
    <col min="17" max="17" width="5.1640625" style="8" customWidth="1"/>
    <col min="28" max="28" width="4.5" style="8" customWidth="1"/>
    <col min="37" max="37" width="4.6640625" style="8" customWidth="1"/>
    <col min="46" max="46" width="5" style="8" customWidth="1"/>
    <col min="57" max="57" width="5.5" style="8" customWidth="1"/>
    <col min="63" max="63" width="5" style="8" customWidth="1"/>
  </cols>
  <sheetData>
    <row r="1" spans="1:63" s="2" customFormat="1" ht="34" customHeight="1" x14ac:dyDescent="0.2">
      <c r="A1" s="1" t="s">
        <v>0</v>
      </c>
      <c r="B1" s="1"/>
      <c r="C1" s="1"/>
      <c r="G1"/>
      <c r="H1"/>
      <c r="I1" s="3" t="s">
        <v>1</v>
      </c>
      <c r="J1" s="3" t="s">
        <v>2</v>
      </c>
      <c r="K1" s="4"/>
      <c r="L1" s="3" t="s">
        <v>3</v>
      </c>
      <c r="M1" s="3" t="s">
        <v>4</v>
      </c>
      <c r="N1" s="3" t="s">
        <v>5</v>
      </c>
      <c r="O1" s="3" t="s">
        <v>6</v>
      </c>
      <c r="P1" s="4"/>
      <c r="Q1" s="5"/>
      <c r="R1" s="3" t="s">
        <v>7</v>
      </c>
      <c r="S1" s="3" t="s">
        <v>8</v>
      </c>
      <c r="T1" s="6"/>
      <c r="U1" s="7" t="s">
        <v>9</v>
      </c>
      <c r="V1" s="7" t="s">
        <v>10</v>
      </c>
      <c r="W1" s="7" t="s">
        <v>11</v>
      </c>
      <c r="X1" s="7" t="s">
        <v>12</v>
      </c>
      <c r="Y1" s="3" t="s">
        <v>13</v>
      </c>
      <c r="Z1" s="7" t="s">
        <v>14</v>
      </c>
      <c r="AA1"/>
      <c r="AB1" s="8"/>
      <c r="AC1" s="9" t="s">
        <v>15</v>
      </c>
      <c r="AD1" s="9" t="s">
        <v>16</v>
      </c>
      <c r="AE1"/>
      <c r="AF1" s="2" t="s">
        <v>17</v>
      </c>
      <c r="AG1" s="2" t="s">
        <v>18</v>
      </c>
      <c r="AH1" s="2" t="s">
        <v>19</v>
      </c>
      <c r="AI1" s="2" t="s">
        <v>20</v>
      </c>
      <c r="AJ1"/>
      <c r="AK1" s="8"/>
      <c r="AL1" s="10" t="s">
        <v>21</v>
      </c>
      <c r="AM1" s="10" t="s">
        <v>22</v>
      </c>
      <c r="AN1"/>
      <c r="AO1" s="2" t="s">
        <v>23</v>
      </c>
      <c r="AP1" s="2" t="s">
        <v>24</v>
      </c>
      <c r="AQ1" s="2" t="s">
        <v>25</v>
      </c>
      <c r="AR1" s="2" t="s">
        <v>26</v>
      </c>
      <c r="AS1"/>
      <c r="AT1" s="8"/>
      <c r="AU1" s="4" t="s">
        <v>27</v>
      </c>
      <c r="AV1" s="4" t="s">
        <v>28</v>
      </c>
      <c r="AW1" s="2" t="s">
        <v>29</v>
      </c>
      <c r="AX1" s="2" t="s">
        <v>30</v>
      </c>
      <c r="AY1"/>
      <c r="AZ1" s="4" t="s">
        <v>31</v>
      </c>
      <c r="BA1" s="4" t="s">
        <v>32</v>
      </c>
      <c r="BB1" s="2" t="s">
        <v>33</v>
      </c>
      <c r="BC1" s="2" t="s">
        <v>34</v>
      </c>
      <c r="BD1"/>
      <c r="BE1" s="8"/>
      <c r="BF1" s="4" t="s">
        <v>35</v>
      </c>
      <c r="BG1" s="4" t="s">
        <v>36</v>
      </c>
      <c r="BH1" s="11" t="s">
        <v>37</v>
      </c>
      <c r="BI1" s="11" t="s">
        <v>38</v>
      </c>
      <c r="BJ1" s="11"/>
      <c r="BK1" s="12"/>
    </row>
    <row r="2" spans="1:63" ht="15" customHeight="1" x14ac:dyDescent="0.2">
      <c r="A2" s="13" t="s">
        <v>39</v>
      </c>
      <c r="B2" s="7" t="s">
        <v>40</v>
      </c>
      <c r="C2" s="7">
        <v>1</v>
      </c>
      <c r="D2" s="2"/>
      <c r="F2" s="14" t="s">
        <v>41</v>
      </c>
      <c r="G2" s="15">
        <f>BA4/AZ14*AL14/AM4</f>
        <v>4.1152263374485592E-3</v>
      </c>
      <c r="I2" s="6" t="s">
        <v>42</v>
      </c>
      <c r="J2" s="6" t="s">
        <v>42</v>
      </c>
      <c r="N2" s="16" t="s">
        <v>43</v>
      </c>
      <c r="O2" s="16" t="s">
        <v>43</v>
      </c>
      <c r="R2" s="6" t="s">
        <v>42</v>
      </c>
      <c r="S2" s="6" t="s">
        <v>42</v>
      </c>
      <c r="T2" s="6"/>
      <c r="U2" s="17" t="s">
        <v>44</v>
      </c>
      <c r="V2" s="17" t="s">
        <v>44</v>
      </c>
      <c r="W2" s="6"/>
      <c r="X2" s="6"/>
      <c r="Y2" s="6"/>
      <c r="Z2" s="6"/>
      <c r="BH2" s="18"/>
      <c r="BI2" s="18"/>
      <c r="BJ2" s="18"/>
    </row>
    <row r="3" spans="1:63" ht="15" customHeight="1" x14ac:dyDescent="0.2">
      <c r="A3" s="13" t="s">
        <v>45</v>
      </c>
      <c r="B3" s="7" t="s">
        <v>46</v>
      </c>
      <c r="C3" s="19">
        <f>100*10^-6</f>
        <v>9.9999999999999991E-5</v>
      </c>
      <c r="D3" s="2"/>
      <c r="F3" s="14" t="s">
        <v>47</v>
      </c>
      <c r="G3" s="15">
        <f>AZ7*BB4/(1+AZ7*BB4)</f>
        <v>8.1632653061224497E-3</v>
      </c>
      <c r="H3" s="20"/>
      <c r="R3" s="6"/>
      <c r="S3" s="6"/>
      <c r="T3" s="6"/>
      <c r="U3" s="6"/>
      <c r="V3" s="6"/>
      <c r="W3" s="6"/>
      <c r="X3" s="6"/>
      <c r="Y3" s="6"/>
      <c r="Z3" s="6"/>
      <c r="AH3" t="s">
        <v>48</v>
      </c>
      <c r="AI3" t="s">
        <v>48</v>
      </c>
      <c r="BH3" s="18"/>
      <c r="BI3" s="18"/>
      <c r="BJ3" s="18"/>
    </row>
    <row r="4" spans="1:63" ht="15" customHeight="1" x14ac:dyDescent="0.2">
      <c r="A4" s="13" t="s">
        <v>49</v>
      </c>
      <c r="B4" s="14"/>
      <c r="C4" s="7">
        <v>0.4</v>
      </c>
      <c r="D4" s="21"/>
      <c r="F4" s="22" t="s">
        <v>50</v>
      </c>
      <c r="I4" s="23">
        <v>40</v>
      </c>
      <c r="J4" s="24">
        <f>(1-G2)*AM4*40/12-AV4</f>
        <v>389925.78446502058</v>
      </c>
      <c r="K4" s="25"/>
      <c r="L4" s="26">
        <f>(N4/1000+1)*L$15</f>
        <v>2.1228472045473824E-2</v>
      </c>
      <c r="M4" s="26">
        <f>(O4/1000+1)*L$15</f>
        <v>2.1175871723084751E-2</v>
      </c>
      <c r="N4" s="27">
        <v>0.88</v>
      </c>
      <c r="O4" s="28">
        <v>-1.6</v>
      </c>
      <c r="R4" s="29">
        <v>3.0000000000000001E-3</v>
      </c>
      <c r="S4" s="28">
        <v>0.61</v>
      </c>
      <c r="T4" s="6"/>
      <c r="U4" s="23">
        <f>R4/$I$4*40/R14*10^6</f>
        <v>432.27665706051874</v>
      </c>
      <c r="V4" s="27">
        <f>S4/$J$4*40/R14*10^6</f>
        <v>9.0167162166923021</v>
      </c>
      <c r="W4" s="29">
        <f>(Y4/1000+1)*W$15</f>
        <v>12.452830188679243</v>
      </c>
      <c r="X4" s="29">
        <f>(Z4/1000+1)*W$15</f>
        <v>12.452830188679243</v>
      </c>
      <c r="Y4" s="28">
        <v>23</v>
      </c>
      <c r="Z4" s="28">
        <v>23</v>
      </c>
      <c r="AC4" s="23">
        <f>16/(16+2)*10^6</f>
        <v>888888.88888888888</v>
      </c>
      <c r="AD4" s="28">
        <f>3*16/(40+3*16+12)*10^6</f>
        <v>480000</v>
      </c>
      <c r="AF4" s="26">
        <f>(AH4/1000+1)*AF$15</f>
        <v>1.9965017599999999E-3</v>
      </c>
      <c r="AG4" s="26">
        <f>(AI4/1000+1)*AF$15</f>
        <v>2.0682335999999998E-3</v>
      </c>
      <c r="AH4" s="28">
        <v>-34.200000000000003</v>
      </c>
      <c r="AI4" s="30">
        <v>0.5</v>
      </c>
      <c r="AL4" s="23">
        <v>40</v>
      </c>
      <c r="AM4" s="28">
        <f>12/(40+3*16+12)*10^6</f>
        <v>120000</v>
      </c>
      <c r="AN4" s="6"/>
      <c r="AO4" s="26">
        <f>(AQ4/1000+1)*AO$15</f>
        <v>1.1223715359999999E-2</v>
      </c>
      <c r="AP4" s="26">
        <f>(AR4/1000+1)*AO$15</f>
        <v>1.1293385999999997E-2</v>
      </c>
      <c r="AQ4" s="27">
        <v>-1.2</v>
      </c>
      <c r="AR4" s="28">
        <v>5</v>
      </c>
      <c r="AU4" s="28">
        <f>1.2*10^-2*I4</f>
        <v>0.48</v>
      </c>
      <c r="AV4" s="23">
        <v>8428.125</v>
      </c>
      <c r="AW4" s="27">
        <f>AU4/$I$4*40/AU14*10^3</f>
        <v>5.4782013238986531</v>
      </c>
      <c r="AX4" s="30">
        <f>AV4/$J$4*40/AU14*10^3</f>
        <v>9.8674686680718935</v>
      </c>
      <c r="AZ4" s="28">
        <v>10</v>
      </c>
      <c r="BA4" s="28">
        <v>1000</v>
      </c>
      <c r="BB4" s="27">
        <f>AZ4/$I$4*40/AZ14</f>
        <v>0.41152263374485598</v>
      </c>
      <c r="BC4" s="29">
        <f>BA4/$J$4*40/AZ14</f>
        <v>4.221548306270295E-3</v>
      </c>
      <c r="BF4" s="28">
        <v>0.01</v>
      </c>
      <c r="BG4" s="28">
        <v>11</v>
      </c>
      <c r="BH4" s="23">
        <f>BF4/$I4*40/BF$14*10^6</f>
        <v>411.52263374485597</v>
      </c>
      <c r="BI4" s="27">
        <f>BG4/$J4*40/BF$14*10^6</f>
        <v>46.437031368973244</v>
      </c>
      <c r="BJ4" s="31"/>
    </row>
    <row r="5" spans="1:63" ht="15" customHeight="1" x14ac:dyDescent="0.2">
      <c r="A5" s="13" t="s">
        <v>51</v>
      </c>
      <c r="B5" s="14"/>
      <c r="C5" s="32">
        <f>2.7*(1-C4)/(1.0125*C4)</f>
        <v>4</v>
      </c>
      <c r="D5" s="2"/>
      <c r="F5" s="22" t="s">
        <v>52</v>
      </c>
      <c r="I5" s="23">
        <f>I4</f>
        <v>40</v>
      </c>
      <c r="J5" s="23">
        <f>I8*I4</f>
        <v>397508.32653061231</v>
      </c>
      <c r="K5" s="33"/>
      <c r="L5" s="26">
        <f>(N5/1000+1)*L$15</f>
        <v>2.1228472045473824E-2</v>
      </c>
      <c r="M5" s="26">
        <f>(O5/1000+1)*L$15</f>
        <v>2.1228472045473824E-2</v>
      </c>
      <c r="N5" s="27">
        <f>N4</f>
        <v>0.88</v>
      </c>
      <c r="O5" s="27">
        <f>N16*(N5+1000)-1000</f>
        <v>0.87999999999999545</v>
      </c>
      <c r="R5" s="29">
        <f>R4</f>
        <v>3.0000000000000001E-3</v>
      </c>
      <c r="S5" s="30">
        <f>R8*R4</f>
        <v>5.9626248979591845E-2</v>
      </c>
      <c r="T5" s="6"/>
      <c r="U5" s="23">
        <f>U4</f>
        <v>432.27665706051874</v>
      </c>
      <c r="V5" s="27">
        <f>R7*R4/$I$4*10^6*40/R14</f>
        <v>0.86455331412103742</v>
      </c>
      <c r="W5" s="29">
        <f>(Y5/1000+1)*W$15</f>
        <v>12.452830188679243</v>
      </c>
      <c r="X5" s="29">
        <f>(Z5/1000+1)*W$15</f>
        <v>12.415527679853325</v>
      </c>
      <c r="Y5" s="23">
        <f>Y4</f>
        <v>23</v>
      </c>
      <c r="Z5" s="23">
        <f>Y16*(Y5+1000)-1000</f>
        <v>19.935598899950605</v>
      </c>
      <c r="AC5" s="23">
        <f>AC4</f>
        <v>888888.88888888888</v>
      </c>
      <c r="AD5" s="23">
        <f>AC8*AC4</f>
        <v>480000</v>
      </c>
      <c r="AF5" s="26">
        <f>(AH5/1000+1)*AF$15</f>
        <v>1.9965017599999999E-3</v>
      </c>
      <c r="AG5" s="26">
        <f>(AI5/1000+1)*AF$15</f>
        <v>2.0611884170239998E-3</v>
      </c>
      <c r="AH5" s="27">
        <f>AH4</f>
        <v>-34.200000000000003</v>
      </c>
      <c r="AI5" s="30">
        <f>AH16*(AH5+1000)-1000</f>
        <v>-2.9080800000000409</v>
      </c>
      <c r="AL5" s="23">
        <f>AL4</f>
        <v>40</v>
      </c>
      <c r="AM5" s="23">
        <f>AL8*AL4</f>
        <v>120000</v>
      </c>
      <c r="AN5" s="6"/>
      <c r="AO5" s="26">
        <f>(AQ5/1000+1)*AO$15</f>
        <v>1.1223715359999999E-2</v>
      </c>
      <c r="AP5" s="26">
        <f>(AR5/1000+1)*AO$15</f>
        <v>1.1234946945142925E-2</v>
      </c>
      <c r="AQ5" s="27">
        <f>AQ4</f>
        <v>-1.2</v>
      </c>
      <c r="AR5" s="27">
        <f>AQ4+AQ17</f>
        <v>-0.20049966691657672</v>
      </c>
      <c r="AU5" s="27">
        <f>AU4</f>
        <v>0.48</v>
      </c>
      <c r="AV5" s="23">
        <f>AU8*AU4</f>
        <v>238.5049959183674</v>
      </c>
      <c r="AW5" s="27">
        <f>AW4</f>
        <v>5.4782013238986531</v>
      </c>
      <c r="AX5" s="30">
        <f>AU7*AU4/$I$4*10^3*40/AU14</f>
        <v>0.27391006619493269</v>
      </c>
      <c r="AZ5" s="27">
        <f>AZ4</f>
        <v>10</v>
      </c>
      <c r="BA5" s="23">
        <f>AZ8*AZ4</f>
        <v>1987.5416326530617</v>
      </c>
      <c r="BB5" s="27">
        <f>BB4</f>
        <v>0.41152263374485598</v>
      </c>
      <c r="BC5" s="29">
        <f>AZ7*AZ4/$I$4*40/AZ14</f>
        <v>8.23045267489712E-3</v>
      </c>
      <c r="BF5" s="27">
        <f>BF4</f>
        <v>0.01</v>
      </c>
      <c r="BG5" s="27">
        <f>BF8*BF4</f>
        <v>6.9563957142857152E-2</v>
      </c>
      <c r="BH5" s="23">
        <f>BH4</f>
        <v>411.52263374485597</v>
      </c>
      <c r="BI5" s="27">
        <f>BF7*BF4/$I$4*40/BF14*10^6</f>
        <v>0.28806584362139914</v>
      </c>
      <c r="BJ5" s="31"/>
    </row>
    <row r="6" spans="1:63" ht="15" customHeight="1" x14ac:dyDescent="0.2">
      <c r="A6" s="13" t="s">
        <v>53</v>
      </c>
      <c r="B6" s="34" t="s">
        <v>54</v>
      </c>
      <c r="C6" s="34">
        <v>20</v>
      </c>
      <c r="D6" s="35"/>
      <c r="F6" s="22" t="s">
        <v>55</v>
      </c>
      <c r="I6" s="23">
        <f>J6/I8</f>
        <v>39.236992881958379</v>
      </c>
      <c r="J6" s="23">
        <f>J4</f>
        <v>389925.78446502058</v>
      </c>
      <c r="K6" s="33"/>
      <c r="L6" s="26">
        <f>(N6/1000+1)*L$15</f>
        <v>2.1175871723084751E-2</v>
      </c>
      <c r="M6" s="26">
        <f>(O6/1000+1)*L$15</f>
        <v>2.1175871723084751E-2</v>
      </c>
      <c r="N6" s="27">
        <f>O6-N17</f>
        <v>-1.6</v>
      </c>
      <c r="O6" s="27">
        <f>O4</f>
        <v>-1.6</v>
      </c>
      <c r="R6" s="30">
        <f>S6/R8</f>
        <v>3.0691181003627284E-2</v>
      </c>
      <c r="S6" s="30">
        <f>S4</f>
        <v>0.61</v>
      </c>
      <c r="T6" s="6"/>
      <c r="U6" s="23">
        <f>R6/$I$6*40/R14*10^6</f>
        <v>4508.3581083461522</v>
      </c>
      <c r="V6" s="27">
        <f>S6/$J$6*40/R14*10^6</f>
        <v>9.0167162166923021</v>
      </c>
      <c r="W6" s="29">
        <f>(Y6/1000+1)*W$15</f>
        <v>12.48934875228241</v>
      </c>
      <c r="X6" s="29">
        <f>(Z6/1000+1)*W$15</f>
        <v>12.452830188679243</v>
      </c>
      <c r="Y6" s="23">
        <f>Z6-Y17</f>
        <v>26</v>
      </c>
      <c r="Z6" s="23">
        <f>Z4</f>
        <v>23</v>
      </c>
      <c r="AC6" s="23">
        <f>AD6/AC8</f>
        <v>888888.88888888888</v>
      </c>
      <c r="AD6" s="23">
        <f>AD4</f>
        <v>480000</v>
      </c>
      <c r="AF6" s="26">
        <f>(AH6/1000+1)*AF$15</f>
        <v>2.0023184703838086E-3</v>
      </c>
      <c r="AG6" s="26">
        <f>(AI6/1000+1)*AF$15</f>
        <v>2.0682335999999998E-3</v>
      </c>
      <c r="AH6" s="27">
        <f>AI6-AH17</f>
        <v>-31.386188862321731</v>
      </c>
      <c r="AI6" s="27">
        <f>AI4</f>
        <v>0.5</v>
      </c>
      <c r="AL6" s="23">
        <f>AM6/AL8</f>
        <v>40</v>
      </c>
      <c r="AM6" s="23">
        <f>AM4</f>
        <v>120000</v>
      </c>
      <c r="AN6" s="6"/>
      <c r="AO6" s="26">
        <f>(AQ6/1000+1)*AO$15</f>
        <v>1.1282154414857073E-2</v>
      </c>
      <c r="AP6" s="26">
        <f>(AR6/1000+1)*AO$15</f>
        <v>1.1293385999999997E-2</v>
      </c>
      <c r="AQ6" s="27">
        <f>AR6-AQ17</f>
        <v>4.0004996669165767</v>
      </c>
      <c r="AR6" s="27">
        <f>AR4</f>
        <v>5</v>
      </c>
      <c r="AU6" s="23">
        <f>AV6/AU8</f>
        <v>16.961908845652207</v>
      </c>
      <c r="AV6" s="23">
        <f>AV4</f>
        <v>8428.125</v>
      </c>
      <c r="AW6" s="27">
        <f>AU6/$I6*40/AU$14*10^3</f>
        <v>197.34937336143781</v>
      </c>
      <c r="AX6" s="27">
        <f>AV6/$J6*40/AU$14*10^3</f>
        <v>9.8674686680718935</v>
      </c>
      <c r="AZ6" s="23">
        <f>BA6/AZ8</f>
        <v>5.0313411481356196</v>
      </c>
      <c r="BA6" s="23">
        <f>BA4</f>
        <v>1000</v>
      </c>
      <c r="BB6" s="29">
        <f>AZ6/$I6*40/AZ$14</f>
        <v>0.21107741531351473</v>
      </c>
      <c r="BC6" s="29">
        <f>BA6/$J6*40/AZ$14</f>
        <v>4.221548306270295E-3</v>
      </c>
      <c r="BF6" s="23">
        <f>BG6/BF8</f>
        <v>1.5812786465569093</v>
      </c>
      <c r="BG6" s="23">
        <f>BG4</f>
        <v>11</v>
      </c>
      <c r="BH6" s="23">
        <f>BF6/$I6*40/BF$14*10^6</f>
        <v>66338.616241390351</v>
      </c>
      <c r="BI6" s="27">
        <f>BG6/$J6*40/BF$14*10^6</f>
        <v>46.437031368973244</v>
      </c>
      <c r="BJ6" s="31"/>
    </row>
    <row r="7" spans="1:63" ht="15" customHeight="1" x14ac:dyDescent="0.2">
      <c r="A7" s="13" t="s">
        <v>56</v>
      </c>
      <c r="B7" s="34"/>
      <c r="C7" s="36">
        <f>1-2*LN(C4)</f>
        <v>2.8325814637483102</v>
      </c>
      <c r="D7" s="37"/>
      <c r="F7" s="22" t="s">
        <v>57</v>
      </c>
      <c r="I7" s="38">
        <v>1</v>
      </c>
      <c r="J7" s="38"/>
      <c r="K7" s="6"/>
      <c r="L7" s="6"/>
      <c r="M7" s="6"/>
      <c r="N7" s="6"/>
      <c r="O7" s="6"/>
      <c r="R7" s="39">
        <v>2E-3</v>
      </c>
      <c r="S7" s="39"/>
      <c r="T7" s="6"/>
      <c r="U7" s="6"/>
      <c r="V7" s="6"/>
      <c r="W7" s="6"/>
      <c r="X7" s="6"/>
      <c r="Y7" s="6"/>
      <c r="Z7" s="40"/>
      <c r="AC7" s="41">
        <f>AC8*I$4/J$4</f>
        <v>5.5395156874878817E-5</v>
      </c>
      <c r="AD7" s="41"/>
      <c r="AH7" s="6"/>
      <c r="AI7" s="6"/>
      <c r="AL7" s="42">
        <f>AL8*$I$4/$J$4</f>
        <v>0.30775087152710451</v>
      </c>
      <c r="AM7" s="42"/>
      <c r="AN7" s="6"/>
      <c r="AO7" s="6"/>
      <c r="AP7" s="6"/>
      <c r="AQ7" s="6"/>
      <c r="AR7" s="6"/>
      <c r="AU7" s="39">
        <v>0.05</v>
      </c>
      <c r="AV7" s="39"/>
      <c r="AW7" s="6"/>
      <c r="AZ7" s="43">
        <v>0.02</v>
      </c>
      <c r="BA7" s="43"/>
      <c r="BB7" s="6"/>
      <c r="BD7" s="44"/>
      <c r="BE7" s="45"/>
      <c r="BF7" s="46">
        <f>0.7/1000</f>
        <v>6.9999999999999999E-4</v>
      </c>
      <c r="BG7" s="46"/>
      <c r="BH7" s="31"/>
      <c r="BI7" s="18"/>
      <c r="BJ7" s="18"/>
    </row>
    <row r="8" spans="1:63" ht="15" customHeight="1" x14ac:dyDescent="0.2">
      <c r="A8" s="13" t="s">
        <v>58</v>
      </c>
      <c r="B8" s="14"/>
      <c r="C8" s="47">
        <f>10^7</f>
        <v>10000000</v>
      </c>
      <c r="D8" s="48"/>
      <c r="F8" s="49" t="s">
        <v>59</v>
      </c>
      <c r="I8" s="50">
        <f>(1-G3)*AM4*I14/12/$I$4*I7</f>
        <v>9937.708163265308</v>
      </c>
      <c r="J8" s="50"/>
      <c r="K8" s="33"/>
      <c r="L8" s="33"/>
      <c r="M8" s="33"/>
      <c r="R8" s="51">
        <f>R7*$I8</f>
        <v>19.875416326530615</v>
      </c>
      <c r="S8" s="51"/>
      <c r="T8" s="6"/>
      <c r="U8" s="6"/>
      <c r="V8" s="6"/>
      <c r="W8" s="6"/>
      <c r="X8" s="6"/>
      <c r="Y8" s="6"/>
      <c r="Z8" s="6"/>
      <c r="AC8" s="52">
        <f>AD4/AC4</f>
        <v>0.54</v>
      </c>
      <c r="AD8" s="53"/>
      <c r="AH8" s="6"/>
      <c r="AI8" s="6"/>
      <c r="AL8" s="51">
        <f>AM4/AL4</f>
        <v>3000</v>
      </c>
      <c r="AM8" s="51"/>
      <c r="AN8" s="6"/>
      <c r="AO8" s="6"/>
      <c r="AP8" s="6"/>
      <c r="AQ8" s="6"/>
      <c r="AR8" s="6"/>
      <c r="AU8" s="51">
        <f>AU7*$I8</f>
        <v>496.88540816326542</v>
      </c>
      <c r="AV8" s="51"/>
      <c r="AW8" s="31"/>
      <c r="AZ8" s="51">
        <f>AZ7*$I8</f>
        <v>198.75416326530618</v>
      </c>
      <c r="BA8" s="51"/>
      <c r="BB8" s="31"/>
      <c r="BF8" s="51">
        <f>BF7*$I8</f>
        <v>6.9563957142857156</v>
      </c>
      <c r="BG8" s="51"/>
      <c r="BH8" s="31"/>
      <c r="BI8" s="18"/>
      <c r="BJ8" s="18"/>
    </row>
    <row r="9" spans="1:63" ht="15" customHeight="1" x14ac:dyDescent="0.2">
      <c r="A9" s="13" t="s">
        <v>60</v>
      </c>
      <c r="B9" s="34"/>
      <c r="C9" s="54">
        <f>C8*C2*1/C5+1/C5</f>
        <v>2500000.25</v>
      </c>
      <c r="D9" s="55"/>
      <c r="F9" s="22" t="s">
        <v>61</v>
      </c>
      <c r="G9" s="7" t="s">
        <v>62</v>
      </c>
      <c r="I9" s="56">
        <f>(I$23+I$24*$C6)*10^-6</f>
        <v>7.179999999999999E-6</v>
      </c>
      <c r="J9" s="19">
        <f>I9/($C$7^2)</f>
        <v>8.9486933597177172E-7</v>
      </c>
      <c r="K9" s="21"/>
      <c r="L9" s="21"/>
      <c r="M9" s="21"/>
      <c r="R9" s="56">
        <f>(R$23+R$24*$C6)*10^-6</f>
        <v>9.2499999999999995E-6</v>
      </c>
      <c r="S9" s="19">
        <f>R9/($C$7^2)</f>
        <v>1.1528609133341071E-6</v>
      </c>
      <c r="T9" s="6"/>
      <c r="U9" s="6"/>
      <c r="V9" s="6"/>
      <c r="W9" s="6"/>
      <c r="X9" s="6"/>
      <c r="Y9" s="6"/>
      <c r="Z9" s="6"/>
      <c r="AC9" s="56">
        <f>10^(-4.41+773.8/(273.15+$C$6)-(506.4/(273.15+$C$6))^2)</f>
        <v>1.7601269126971295E-5</v>
      </c>
      <c r="AD9" s="19">
        <f>AC9/($C$7^2)</f>
        <v>2.1937097515199514E-6</v>
      </c>
      <c r="AH9" s="6"/>
      <c r="AI9" s="6"/>
      <c r="AL9" s="56">
        <f>(AL$23+AL$24*$C6)*10^-6</f>
        <v>1.0559999999999999E-5</v>
      </c>
      <c r="AM9" s="19">
        <f>AL9/($C$7^2)</f>
        <v>1.316130945384667E-6</v>
      </c>
      <c r="AN9" s="6"/>
      <c r="AO9" s="6"/>
      <c r="AP9" s="6"/>
      <c r="AQ9" s="6"/>
      <c r="AR9" s="6"/>
      <c r="AU9" s="56">
        <f>(AU$23+AU$24*$C6)*10^-6</f>
        <v>7.0700000000000001E-6</v>
      </c>
      <c r="AV9" s="19">
        <f>AU9/($C$7^2)</f>
        <v>8.8115963862401483E-7</v>
      </c>
      <c r="AW9" s="21"/>
      <c r="AZ9" s="56">
        <f>(AZ$23+AZ$24*$C6)*10^-6</f>
        <v>6.3100000000000006E-6</v>
      </c>
      <c r="BA9" s="19">
        <f>AZ9/($C$7^2)</f>
        <v>7.8643809331223965E-7</v>
      </c>
      <c r="BB9" s="21"/>
      <c r="BF9" s="56">
        <f>1.12*10^-5</f>
        <v>1.1200000000000001E-5</v>
      </c>
      <c r="BG9" s="19">
        <v>1.3958964572261623E-6</v>
      </c>
      <c r="BH9" s="11"/>
      <c r="BI9" s="18"/>
      <c r="BJ9" s="18"/>
    </row>
    <row r="10" spans="1:63" ht="15" customHeight="1" x14ac:dyDescent="0.2">
      <c r="A10" s="13"/>
      <c r="B10" s="14"/>
      <c r="C10" s="30"/>
      <c r="D10" s="57"/>
      <c r="F10" s="22" t="s">
        <v>61</v>
      </c>
      <c r="G10" s="7" t="s">
        <v>63</v>
      </c>
      <c r="I10" s="14"/>
      <c r="J10" s="19">
        <f>J9*10^(-4)*365.25*24*3600</f>
        <v>2.8239928556862783E-3</v>
      </c>
      <c r="K10" s="21"/>
      <c r="L10" s="21"/>
      <c r="M10" s="21"/>
      <c r="R10" s="14"/>
      <c r="S10" s="19">
        <f>S9*10^(-4)*365.25*24*3600</f>
        <v>3.6381523558632425E-3</v>
      </c>
      <c r="U10" s="20"/>
      <c r="AC10" s="56"/>
      <c r="AD10" s="19">
        <f>AD9*10^(-4)*365.25*24*3600</f>
        <v>6.9228214854566029E-3</v>
      </c>
      <c r="AL10" s="28"/>
      <c r="AM10" s="19">
        <f>AM9*10^(-4)*365.25*24*3600</f>
        <v>4.1533933922071166E-3</v>
      </c>
      <c r="AN10" s="6"/>
      <c r="AO10" s="6"/>
      <c r="AP10" s="6"/>
      <c r="AQ10" s="6"/>
      <c r="AR10" s="6"/>
      <c r="AU10" s="28"/>
      <c r="AV10" s="19">
        <f>AV9*10^(-4)*365.25*24*3600</f>
        <v>2.780728341184121E-3</v>
      </c>
      <c r="AW10" s="21"/>
      <c r="AZ10" s="28"/>
      <c r="BA10" s="19">
        <f>BA9*10^(-4)*365.25*24*3600</f>
        <v>2.4818098773510336E-3</v>
      </c>
      <c r="BB10" s="21"/>
      <c r="BF10" s="14"/>
      <c r="BG10" s="19">
        <v>4.4051142038560335E-3</v>
      </c>
      <c r="BH10" s="11"/>
      <c r="BI10" s="18"/>
      <c r="BJ10" s="18"/>
    </row>
    <row r="11" spans="1:63" ht="15" customHeight="1" x14ac:dyDescent="0.2">
      <c r="A11" s="13" t="s">
        <v>64</v>
      </c>
      <c r="B11" s="14"/>
      <c r="C11" s="58">
        <f>C2/C3</f>
        <v>10000</v>
      </c>
      <c r="D11" s="40"/>
      <c r="F11" s="22" t="s">
        <v>65</v>
      </c>
      <c r="I11" s="51">
        <f>1/((($C$2+$C$10)^2/(4*J$10^2)+$C$3*$C$5*I$8/J$10)^0.5-($C$2+$C$10)/(2*J$10))</f>
        <v>0.25436004158937409</v>
      </c>
      <c r="J11" s="51"/>
      <c r="K11" s="31"/>
      <c r="L11" s="31"/>
      <c r="M11" s="31"/>
      <c r="R11" s="51">
        <f>1/((($C$2+$C$10)^2/(4*S$10^2)+$C$3*$C$5*R$8/S$10)^0.5-($C$2+$C$10)/(2*S$10))</f>
        <v>125.78716675068567</v>
      </c>
      <c r="S11" s="51"/>
      <c r="T11" s="6"/>
      <c r="U11" s="6"/>
      <c r="V11" s="6"/>
      <c r="W11" s="6"/>
      <c r="X11" s="6"/>
      <c r="Y11" s="6"/>
      <c r="Z11" s="6"/>
      <c r="AC11" s="50">
        <f>1/((($C$2+$C$10)^2/(4*AD$10^2)+$C$3*$C$5*AC$8/AD$10)^0.5-($C$2+$C$10)/(2*AD$10))</f>
        <v>4629.6365524289276</v>
      </c>
      <c r="AD11" s="50"/>
      <c r="AH11" s="6"/>
      <c r="AI11" s="6"/>
      <c r="AL11" s="51">
        <f>1/((($C$2+$C$10)^2/(4*AM$10^2)+$C$3*$C$5*AL$8/AM$10)^0.5-($C$2+$C$10)/(2*AM$10))</f>
        <v>0.83746622972642493</v>
      </c>
      <c r="AM11" s="51"/>
      <c r="AN11" s="6"/>
      <c r="AO11" s="6"/>
      <c r="AP11" s="6"/>
      <c r="AQ11" s="6"/>
      <c r="AR11" s="6"/>
      <c r="AU11" s="51">
        <f>1/((($C$2+$C$10)^2/(4*AV$10^2)+$C$3*$C$5*AU$8/AV$10)^0.5-($C$2+$C$10)/(2*AV$10))</f>
        <v>5.0341203413170925</v>
      </c>
      <c r="AV11" s="51"/>
      <c r="AW11" s="31"/>
      <c r="AZ11" s="51">
        <f>1/((($C$2+$C$10)^2/(4*BA$10^2)+$C$3*$C$5*AZ$8/BA$10)^0.5-($C$2+$C$10)/(2*BA$10))</f>
        <v>12.580834190733157</v>
      </c>
      <c r="BA11" s="51"/>
      <c r="BB11" s="31"/>
      <c r="BF11" s="51">
        <f>1/((($C$2+$C$10)^2/(4*BG$10^2)+$C$3*$C$5*BF$8/BG$10)^0.5-($C$2+$C$10)/(2*BG$10))</f>
        <v>359.38591564102524</v>
      </c>
      <c r="BG11" s="51"/>
      <c r="BH11" s="31"/>
      <c r="BI11" s="18"/>
      <c r="BJ11" s="18"/>
    </row>
    <row r="12" spans="1:63" ht="15" customHeight="1" x14ac:dyDescent="0.2">
      <c r="D12" s="59"/>
      <c r="F12" s="22" t="s">
        <v>66</v>
      </c>
      <c r="I12" s="51">
        <f>$C$2/($C$3*$C$5*I$8)</f>
        <v>0.25156705740678104</v>
      </c>
      <c r="J12" s="51"/>
      <c r="K12" s="31"/>
      <c r="L12" s="31"/>
      <c r="M12" s="31"/>
      <c r="R12" s="51">
        <f>$C$2/($C$3*$C$5*R$8)</f>
        <v>125.78352870339053</v>
      </c>
      <c r="S12" s="51"/>
      <c r="T12" s="6"/>
      <c r="U12" s="6"/>
      <c r="V12" s="6"/>
      <c r="W12" s="6"/>
      <c r="X12" s="6"/>
      <c r="Y12" s="6"/>
      <c r="Z12" s="6"/>
      <c r="AC12" s="50">
        <f>$C$2/($C$3*$C$5*AC$8)</f>
        <v>4629.6296296296296</v>
      </c>
      <c r="AD12" s="50"/>
      <c r="AH12" s="6"/>
      <c r="AI12" s="6"/>
      <c r="AL12" s="51">
        <f>$C$2/($C$3*$C$5*AL$8)</f>
        <v>0.83333333333333337</v>
      </c>
      <c r="AM12" s="51"/>
      <c r="AN12" s="6"/>
      <c r="AO12" s="6"/>
      <c r="AP12" s="6"/>
      <c r="AQ12" s="6"/>
      <c r="AR12" s="6"/>
      <c r="AU12" s="51">
        <f>$C$2/($C$3*$C$5*AU$8)</f>
        <v>5.0313411481356205</v>
      </c>
      <c r="AV12" s="51"/>
      <c r="AW12" s="31"/>
      <c r="AZ12" s="51">
        <f>$C$2/($C$3*$C$5*AZ$8)</f>
        <v>12.578352870339051</v>
      </c>
      <c r="BA12" s="51"/>
      <c r="BB12" s="31"/>
      <c r="BF12" s="51">
        <f>$C$2/($C$3*$C$5*BF$8)</f>
        <v>359.38151058111578</v>
      </c>
      <c r="BG12" s="51"/>
      <c r="BH12" s="31"/>
      <c r="BI12" s="18"/>
      <c r="BJ12" s="18"/>
    </row>
    <row r="13" spans="1:63" ht="15" customHeight="1" x14ac:dyDescent="0.2">
      <c r="F13" s="22" t="s">
        <v>67</v>
      </c>
      <c r="I13" s="51">
        <f>(J$10/($C$3*$C$5*I$8))^0.5</f>
        <v>2.6653772206627142E-2</v>
      </c>
      <c r="J13" s="51"/>
      <c r="K13" s="31"/>
      <c r="L13" s="31"/>
      <c r="M13" s="31"/>
      <c r="R13" s="51">
        <f>(S$10/($C$3*$C$5*R$8))^0.5</f>
        <v>0.67647589852191481</v>
      </c>
      <c r="S13" s="51"/>
      <c r="T13" s="6"/>
      <c r="U13" s="6"/>
      <c r="V13" s="6"/>
      <c r="W13" s="6"/>
      <c r="X13" s="6"/>
      <c r="Y13" s="6"/>
      <c r="Z13" s="6"/>
      <c r="AC13" s="51">
        <f>(AD$10/($C$3*$C$5*AC$8))^0.5</f>
        <v>5.6612807269827643</v>
      </c>
      <c r="AD13" s="51"/>
      <c r="AH13" s="6"/>
      <c r="AI13" s="6"/>
      <c r="AL13" s="51">
        <f>(AM$10/($C$3*$C$5*AL$8))^0.5</f>
        <v>5.8831634009031207E-2</v>
      </c>
      <c r="AM13" s="51"/>
      <c r="AN13" s="6"/>
      <c r="AO13" s="6"/>
      <c r="AP13" s="6"/>
      <c r="AQ13" s="6"/>
      <c r="AR13" s="6"/>
      <c r="AU13" s="42">
        <f>(AV$10/($C$3*$C$5*AU$8))^0.5</f>
        <v>0.11828268226915796</v>
      </c>
      <c r="AV13" s="42"/>
      <c r="AW13" s="40"/>
      <c r="AZ13" s="42">
        <f>(BA$10/($C$3*$C$5*AZ$8))^0.5</f>
        <v>0.1766835600569962</v>
      </c>
      <c r="BA13" s="42"/>
      <c r="BB13" s="40"/>
      <c r="BF13" s="42">
        <f>(BG$10/($C$3*$C$5*BF$8))^0.5</f>
        <v>1.2582196139244175</v>
      </c>
      <c r="BG13" s="42"/>
      <c r="BH13" s="31"/>
      <c r="BI13" s="18"/>
      <c r="BJ13" s="18"/>
    </row>
    <row r="14" spans="1:63" ht="15" customHeight="1" x14ac:dyDescent="0.2">
      <c r="A14" s="60"/>
      <c r="B14" s="61"/>
      <c r="F14" s="22" t="s">
        <v>68</v>
      </c>
      <c r="I14" s="39">
        <v>40.078000000000003</v>
      </c>
      <c r="J14" s="39"/>
      <c r="K14" s="6"/>
      <c r="L14" s="6"/>
      <c r="M14" s="6"/>
      <c r="R14" s="39">
        <v>6.94</v>
      </c>
      <c r="S14" s="39"/>
      <c r="T14" s="6"/>
      <c r="U14" s="6"/>
      <c r="V14" s="6"/>
      <c r="W14" s="6"/>
      <c r="X14" s="6"/>
      <c r="Y14" s="6"/>
      <c r="Z14" s="6"/>
      <c r="AC14" s="39">
        <v>16</v>
      </c>
      <c r="AD14" s="39"/>
      <c r="AH14" s="6"/>
      <c r="AI14" s="6"/>
      <c r="AL14" s="39">
        <v>12</v>
      </c>
      <c r="AM14" s="39"/>
      <c r="AN14" s="6"/>
      <c r="AO14" s="6"/>
      <c r="AP14" s="6"/>
      <c r="AU14" s="39">
        <v>87.62</v>
      </c>
      <c r="AV14" s="39"/>
      <c r="AW14" s="6"/>
      <c r="AZ14" s="39">
        <v>24.3</v>
      </c>
      <c r="BA14" s="39"/>
      <c r="BB14" s="6"/>
      <c r="BF14" s="39">
        <v>24.3</v>
      </c>
      <c r="BG14" s="39"/>
      <c r="BH14" s="31"/>
      <c r="BI14" s="18"/>
      <c r="BJ14" s="18"/>
    </row>
    <row r="15" spans="1:63" ht="15" customHeight="1" x14ac:dyDescent="0.2">
      <c r="A15" s="60"/>
      <c r="B15" s="61"/>
      <c r="C15" s="20"/>
      <c r="D15" s="20"/>
      <c r="E15" s="20"/>
      <c r="F15" s="22" t="s">
        <v>69</v>
      </c>
      <c r="L15" s="62">
        <f>1/47.148</f>
        <v>2.120980741494867E-2</v>
      </c>
      <c r="M15" s="62"/>
      <c r="R15" s="6"/>
      <c r="S15" s="6"/>
      <c r="T15" s="6"/>
      <c r="U15" s="6"/>
      <c r="V15" s="6"/>
      <c r="W15" s="46">
        <f>1/(0.08215)</f>
        <v>12.172854534388314</v>
      </c>
      <c r="X15" s="46"/>
      <c r="Y15" s="6"/>
      <c r="Z15" s="6"/>
      <c r="AF15" s="63">
        <v>2.0671999999999999E-3</v>
      </c>
      <c r="AG15" s="63"/>
      <c r="AH15" s="6"/>
      <c r="AI15" s="6"/>
      <c r="AL15" s="6"/>
      <c r="AM15" s="6"/>
      <c r="AN15" s="6"/>
      <c r="AO15" s="63">
        <v>1.1237199999999999E-2</v>
      </c>
      <c r="AP15" s="63"/>
      <c r="AU15" s="6"/>
      <c r="AV15" s="6"/>
      <c r="AW15" s="6"/>
      <c r="BH15" s="18"/>
      <c r="BI15" s="18"/>
      <c r="BJ15" s="18"/>
    </row>
    <row r="16" spans="1:63" ht="15" customHeight="1" x14ac:dyDescent="0.2">
      <c r="A16" s="60"/>
      <c r="B16" s="61"/>
      <c r="C16" s="20"/>
      <c r="D16" s="20"/>
      <c r="E16" s="20"/>
      <c r="F16" s="22" t="s">
        <v>70</v>
      </c>
      <c r="N16" s="43">
        <v>1</v>
      </c>
      <c r="O16" s="43"/>
      <c r="R16" s="6"/>
      <c r="S16" s="6"/>
      <c r="T16" s="6"/>
      <c r="U16" s="6"/>
      <c r="V16" s="6"/>
      <c r="W16" s="6"/>
      <c r="X16" s="6"/>
      <c r="Y16" s="43">
        <f>EXP(Y17/1000)</f>
        <v>0.997004495503373</v>
      </c>
      <c r="Z16" s="43"/>
      <c r="AC16" s="64"/>
      <c r="AD16" s="64"/>
      <c r="AH16" s="43">
        <v>1.0324</v>
      </c>
      <c r="AI16" s="43"/>
      <c r="AL16" s="6"/>
      <c r="AM16" s="6"/>
      <c r="AN16" s="6"/>
      <c r="AO16" s="6"/>
      <c r="AP16" s="6"/>
      <c r="AQ16" s="43">
        <v>1.0009999999999999</v>
      </c>
      <c r="AR16" s="43"/>
      <c r="AU16" s="6"/>
      <c r="AV16" s="6"/>
      <c r="AW16" s="6"/>
      <c r="BH16" s="18"/>
      <c r="BI16" s="18"/>
      <c r="BJ16" s="18"/>
    </row>
    <row r="17" spans="1:80" x14ac:dyDescent="0.2">
      <c r="A17" s="60"/>
      <c r="B17" s="61"/>
      <c r="C17" s="18"/>
      <c r="D17" s="18"/>
      <c r="E17" s="18"/>
      <c r="F17" s="49" t="s">
        <v>71</v>
      </c>
      <c r="N17" s="51">
        <f>1000*LN(N16)</f>
        <v>0</v>
      </c>
      <c r="O17" s="51"/>
      <c r="R17" s="6"/>
      <c r="S17" s="6"/>
      <c r="T17" s="6"/>
      <c r="U17" s="6"/>
      <c r="V17" s="6"/>
      <c r="W17" s="6"/>
      <c r="X17" s="6"/>
      <c r="Y17" s="39">
        <v>-3</v>
      </c>
      <c r="Z17" s="39"/>
      <c r="AC17" s="65"/>
      <c r="AD17" s="65"/>
      <c r="AH17" s="42">
        <f>1000*LN(AH16)</f>
        <v>31.886188862321731</v>
      </c>
      <c r="AI17" s="42"/>
      <c r="AQ17" s="42">
        <f>1000*LN(AQ16)</f>
        <v>0.99950033308342323</v>
      </c>
      <c r="AR17" s="42"/>
      <c r="AU17" s="6"/>
      <c r="AV17" s="6"/>
      <c r="AW17" s="6"/>
      <c r="BH17" s="18"/>
      <c r="BI17" s="18"/>
      <c r="BJ17" s="18"/>
    </row>
    <row r="18" spans="1:80" x14ac:dyDescent="0.2">
      <c r="A18" s="60"/>
      <c r="F18" s="22" t="s">
        <v>72</v>
      </c>
      <c r="N18" s="29">
        <v>1</v>
      </c>
      <c r="O18" s="28"/>
      <c r="R18" s="6"/>
      <c r="S18" s="6"/>
      <c r="T18" s="6"/>
      <c r="U18" s="6"/>
      <c r="V18" s="6"/>
      <c r="W18" s="6"/>
      <c r="X18" s="6"/>
      <c r="Y18" s="29">
        <f>EXP(Y19/1000)</f>
        <v>0.997004495503373</v>
      </c>
      <c r="Z18" s="28"/>
      <c r="AC18" s="20"/>
      <c r="AD18" s="20"/>
      <c r="AH18" s="29">
        <f>1/(18/16)^0.08</f>
        <v>0.99062161114105263</v>
      </c>
      <c r="AI18" s="29"/>
      <c r="AQ18" s="29">
        <f>EXP(AQ19/1000)</f>
        <v>0.99920031991468372</v>
      </c>
      <c r="AR18" s="14"/>
      <c r="AU18" s="6"/>
      <c r="AV18" s="6"/>
      <c r="AW18" s="6"/>
      <c r="BH18" s="18"/>
      <c r="BI18" s="18"/>
      <c r="BJ18" s="18"/>
    </row>
    <row r="19" spans="1:80" x14ac:dyDescent="0.2">
      <c r="A19" s="60"/>
      <c r="F19" s="49" t="s">
        <v>73</v>
      </c>
      <c r="H19" s="20"/>
      <c r="I19" s="20"/>
      <c r="J19" s="20"/>
      <c r="K19" s="20"/>
      <c r="L19" s="20"/>
      <c r="M19" s="20"/>
      <c r="N19" s="28">
        <f>1000*LN(N18)</f>
        <v>0</v>
      </c>
      <c r="O19" s="28"/>
      <c r="P19" s="20"/>
      <c r="Q19" s="66"/>
      <c r="R19" s="29">
        <f>W4*R4</f>
        <v>3.7358490566037732E-2</v>
      </c>
      <c r="S19" s="6"/>
      <c r="T19" s="67"/>
      <c r="U19" s="6"/>
      <c r="V19" s="6"/>
      <c r="W19" s="6"/>
      <c r="X19" s="6"/>
      <c r="Y19" s="28">
        <v>-3</v>
      </c>
      <c r="Z19" s="28"/>
      <c r="AC19" s="68"/>
      <c r="AD19" s="68"/>
      <c r="AH19" s="69">
        <f>1000*LN(AH18)</f>
        <v>-9.4226428525107071</v>
      </c>
      <c r="AI19" s="69"/>
      <c r="AQ19" s="28">
        <v>-0.8</v>
      </c>
      <c r="AR19" s="14"/>
      <c r="AU19" s="6"/>
      <c r="AV19" s="6"/>
      <c r="AW19" s="6"/>
      <c r="BH19" s="18"/>
      <c r="BI19" s="18"/>
      <c r="BJ19" s="18"/>
    </row>
    <row r="20" spans="1:80" x14ac:dyDescent="0.2">
      <c r="A20" s="60"/>
      <c r="F20" s="22" t="s">
        <v>74</v>
      </c>
      <c r="N20" s="51">
        <f>1/((($C$2+$C$10)^2/(4*(J$10/N18)^2)+$C$3*$C$5*I$8/N16/(J$10/N18))^0.5-($C$2+$C$10)/(2*(J$10/N18)))</f>
        <v>0.25436004158937409</v>
      </c>
      <c r="O20" s="51"/>
      <c r="R20" s="6"/>
      <c r="S20" s="6"/>
      <c r="T20" s="6"/>
      <c r="U20" s="6"/>
      <c r="V20" s="6"/>
      <c r="W20" s="6"/>
      <c r="X20" s="6"/>
      <c r="Y20" s="51">
        <f>1/((($C$2+$C$10)^2/(4*(S$10/Y18)^2)+$C$3*$C$5*R$8/Y16/(S$10/Y18))^0.5-($C$2+$C$10)/(2*(S$10/Y18)))</f>
        <v>125.41039255417658</v>
      </c>
      <c r="Z20" s="70"/>
      <c r="AC20" s="71"/>
      <c r="AD20" s="71"/>
      <c r="AH20" s="51">
        <f>1/((($C$2+$C$10)^2/(4*(AD$10*AH18)^2)+$C$3*$C$5*AC$8*AH16/(AD$10*AH18))^0.5-($C$2+$C$10)/(2*(AD$10*AH18)))</f>
        <v>4484.3439654510803</v>
      </c>
      <c r="AI20" s="51"/>
      <c r="AQ20" s="51">
        <f>1/((($C$2+$C$10)^2/(4*(AM$10*AQ18)^2)+$C$3*$C$5*AL$8*AQ16/(AM$10*AQ18))^0.5-($C$2+$C$10)/(2*(AM$10*AQ18)))</f>
        <v>0.83663041985283126</v>
      </c>
      <c r="AR20" s="51"/>
      <c r="AU20" s="6"/>
      <c r="AV20" s="6"/>
      <c r="AW20" s="6"/>
      <c r="BH20" s="18"/>
      <c r="BI20" s="18"/>
      <c r="BJ20" s="18"/>
    </row>
    <row r="21" spans="1:80" x14ac:dyDescent="0.2">
      <c r="A21" s="60"/>
      <c r="F21" s="22" t="s">
        <v>75</v>
      </c>
      <c r="G21" s="2"/>
      <c r="H21" s="2"/>
      <c r="I21" s="2"/>
      <c r="J21" s="2"/>
      <c r="K21" s="2"/>
      <c r="L21" s="2"/>
      <c r="M21" s="2"/>
      <c r="N21" s="51">
        <f>$C$2/($C$3*$C$5*I$8/N16)</f>
        <v>0.25156705740678104</v>
      </c>
      <c r="O21" s="51"/>
      <c r="P21" s="2"/>
      <c r="Q21" s="12"/>
      <c r="R21" s="2"/>
      <c r="S21" s="2"/>
      <c r="T21" s="2"/>
      <c r="U21" s="2"/>
      <c r="V21" s="2"/>
      <c r="W21" s="2"/>
      <c r="X21" s="2"/>
      <c r="Y21" s="51">
        <f>$C$2/($C$3*$C$5*R$8/Y16)</f>
        <v>125.40674357755792</v>
      </c>
      <c r="Z21" s="51"/>
      <c r="AC21" s="71"/>
      <c r="AD21" s="71"/>
      <c r="AH21" s="51">
        <f>$C$2/($C$3*$C$5*AC$8*AH16)</f>
        <v>4484.3371073514427</v>
      </c>
      <c r="AI21" s="51"/>
      <c r="AQ21" s="51">
        <f>$C$2/($C$3*$C$5*AL$8*AQ16)</f>
        <v>0.83250083250083262</v>
      </c>
      <c r="AR21" s="51"/>
      <c r="AU21" s="6"/>
      <c r="AV21" s="6"/>
      <c r="AW21" s="6"/>
      <c r="BH21" s="18"/>
      <c r="BI21" s="18"/>
      <c r="BJ21" s="18"/>
    </row>
    <row r="22" spans="1:80" x14ac:dyDescent="0.2">
      <c r="A22" s="60"/>
      <c r="F22" s="22" t="s">
        <v>76</v>
      </c>
      <c r="N22" s="51">
        <f>(J$10/N18/($C$3*$C$5*I$8))^0.5</f>
        <v>2.6653772206627142E-2</v>
      </c>
      <c r="O22" s="51"/>
      <c r="R22" s="72"/>
      <c r="S22" s="6"/>
      <c r="T22" s="6"/>
      <c r="U22" s="6"/>
      <c r="V22" s="6"/>
      <c r="W22" s="6"/>
      <c r="X22" s="6"/>
      <c r="Y22" s="51">
        <f>(S$10/Y18/($C$3*$C$5*R$8))^0.5</f>
        <v>0.67749137378574398</v>
      </c>
      <c r="Z22" s="51"/>
      <c r="AA22" s="2"/>
      <c r="AB22" s="12"/>
      <c r="AC22" s="71"/>
      <c r="AD22" s="71"/>
      <c r="AE22" s="2"/>
      <c r="AF22" s="2"/>
      <c r="AG22" s="2"/>
      <c r="AH22" s="51">
        <f>(AD$10*AH18/($C$3*$C$5*AC$8))^0.5</f>
        <v>5.6346713456874875</v>
      </c>
      <c r="AI22" s="51"/>
      <c r="AJ22" s="2"/>
      <c r="AK22" s="12"/>
      <c r="AL22" s="2"/>
      <c r="AM22" s="2"/>
      <c r="AN22" s="2"/>
      <c r="AO22" s="2"/>
      <c r="AP22" s="2"/>
      <c r="AQ22" s="51">
        <f>(AM$10*AQ18/($C$3*$C$5*AL$8))^0.5</f>
        <v>5.8808106061330842E-2</v>
      </c>
      <c r="AR22" s="51"/>
      <c r="AS22" s="2"/>
      <c r="AT22" s="12"/>
      <c r="AU22" s="2"/>
      <c r="AV22" s="6"/>
      <c r="AW22" s="6"/>
      <c r="AX22" s="2"/>
      <c r="AY22" s="2"/>
      <c r="AZ22" s="2"/>
      <c r="BA22" s="2"/>
      <c r="BB22" s="2"/>
      <c r="BC22" s="2"/>
      <c r="BD22" s="2"/>
      <c r="BE22" s="12"/>
      <c r="BF22" s="2"/>
      <c r="BG22" s="2"/>
      <c r="BH22" s="11"/>
      <c r="BI22" s="11"/>
      <c r="BJ22" s="11"/>
    </row>
    <row r="23" spans="1:80" x14ac:dyDescent="0.2">
      <c r="A23" s="60"/>
      <c r="F23" s="22" t="s">
        <v>77</v>
      </c>
      <c r="I23" s="14">
        <v>3.6</v>
      </c>
      <c r="R23" s="14">
        <v>4.43</v>
      </c>
      <c r="AL23" s="14">
        <v>5.0599999999999996</v>
      </c>
      <c r="AU23" s="28">
        <v>3.69</v>
      </c>
      <c r="AV23" s="6"/>
      <c r="AW23" s="6"/>
      <c r="AZ23" s="14">
        <v>3.43</v>
      </c>
      <c r="BH23" s="18"/>
      <c r="BI23" s="18"/>
      <c r="BJ23" s="18"/>
    </row>
    <row r="24" spans="1:80" x14ac:dyDescent="0.2">
      <c r="A24" s="60"/>
      <c r="F24" s="49" t="s">
        <v>78</v>
      </c>
      <c r="I24" s="73">
        <v>0.17899999999999999</v>
      </c>
      <c r="R24" s="73">
        <v>0.24099999999999999</v>
      </c>
      <c r="V24" s="44"/>
      <c r="W24" s="44"/>
      <c r="X24" s="44"/>
      <c r="Z24" s="44"/>
      <c r="AG24">
        <f>(AF4*AH16/AF15-1)*1000</f>
        <v>-2.9080800000000906</v>
      </c>
      <c r="AL24" s="73">
        <v>0.27500000000000002</v>
      </c>
      <c r="AU24" s="74">
        <v>0.16900000000000001</v>
      </c>
      <c r="AV24" s="6"/>
      <c r="AW24" s="6"/>
      <c r="AZ24" s="73">
        <v>0.14399999999999999</v>
      </c>
      <c r="BH24" s="18"/>
      <c r="BI24" s="18"/>
      <c r="BJ24" s="18"/>
    </row>
    <row r="25" spans="1:80" ht="34" x14ac:dyDescent="0.2">
      <c r="A25" s="60"/>
      <c r="F25" s="75"/>
      <c r="H25" s="76" t="s">
        <v>79</v>
      </c>
      <c r="I25" s="77" t="s">
        <v>1</v>
      </c>
      <c r="J25" s="77" t="s">
        <v>2</v>
      </c>
      <c r="K25" s="78"/>
      <c r="L25" s="77" t="s">
        <v>3</v>
      </c>
      <c r="M25" s="77" t="s">
        <v>4</v>
      </c>
      <c r="N25" s="77" t="s">
        <v>5</v>
      </c>
      <c r="O25" s="77" t="s">
        <v>6</v>
      </c>
      <c r="P25" s="79" t="s">
        <v>80</v>
      </c>
      <c r="Q25" s="80"/>
      <c r="R25" s="77" t="s">
        <v>7</v>
      </c>
      <c r="S25" s="77" t="s">
        <v>8</v>
      </c>
      <c r="T25" s="79" t="s">
        <v>81</v>
      </c>
      <c r="U25" s="79" t="s">
        <v>9</v>
      </c>
      <c r="V25" s="79" t="s">
        <v>10</v>
      </c>
      <c r="W25" s="79" t="s">
        <v>11</v>
      </c>
      <c r="X25" s="79" t="s">
        <v>12</v>
      </c>
      <c r="Y25" s="77" t="s">
        <v>13</v>
      </c>
      <c r="Z25" s="79" t="s">
        <v>14</v>
      </c>
      <c r="AA25" s="79" t="s">
        <v>82</v>
      </c>
      <c r="AB25" s="80"/>
      <c r="AC25" s="81" t="s">
        <v>15</v>
      </c>
      <c r="AD25" s="81" t="s">
        <v>16</v>
      </c>
      <c r="AE25" s="79" t="s">
        <v>83</v>
      </c>
      <c r="AF25" s="79" t="s">
        <v>84</v>
      </c>
      <c r="AG25" s="79" t="s">
        <v>85</v>
      </c>
      <c r="AH25" s="79" t="s">
        <v>19</v>
      </c>
      <c r="AI25" s="79" t="s">
        <v>20</v>
      </c>
      <c r="AJ25" s="79" t="s">
        <v>86</v>
      </c>
      <c r="AK25" s="80"/>
      <c r="AL25" s="81" t="s">
        <v>21</v>
      </c>
      <c r="AM25" s="81" t="s">
        <v>22</v>
      </c>
      <c r="AN25" s="79" t="s">
        <v>87</v>
      </c>
      <c r="AO25" s="79" t="s">
        <v>23</v>
      </c>
      <c r="AP25" s="79" t="s">
        <v>24</v>
      </c>
      <c r="AQ25" s="79" t="s">
        <v>25</v>
      </c>
      <c r="AR25" s="79" t="s">
        <v>26</v>
      </c>
      <c r="AS25" s="79" t="s">
        <v>88</v>
      </c>
      <c r="AT25" s="80"/>
      <c r="AU25" s="3" t="s">
        <v>27</v>
      </c>
      <c r="AV25" s="77" t="s">
        <v>28</v>
      </c>
      <c r="AW25" s="79" t="s">
        <v>29</v>
      </c>
      <c r="AX25" s="79" t="s">
        <v>30</v>
      </c>
      <c r="AY25" s="79" t="s">
        <v>89</v>
      </c>
      <c r="AZ25" s="77" t="s">
        <v>31</v>
      </c>
      <c r="BA25" s="77" t="s">
        <v>32</v>
      </c>
      <c r="BB25" s="79" t="s">
        <v>33</v>
      </c>
      <c r="BC25" s="79" t="s">
        <v>34</v>
      </c>
      <c r="BD25" s="79" t="s">
        <v>90</v>
      </c>
      <c r="BE25" s="80"/>
      <c r="BF25" s="77" t="s">
        <v>35</v>
      </c>
      <c r="BG25" s="77" t="s">
        <v>36</v>
      </c>
      <c r="BH25" s="82" t="s">
        <v>37</v>
      </c>
      <c r="BI25" s="82" t="s">
        <v>38</v>
      </c>
      <c r="BJ25" s="79" t="s">
        <v>91</v>
      </c>
      <c r="BK25" s="83"/>
      <c r="BL25" s="84"/>
      <c r="BM25" s="84"/>
      <c r="BN25" s="84"/>
      <c r="BO25" s="84"/>
      <c r="BP25" s="84"/>
      <c r="BQ25" s="84"/>
      <c r="BR25" s="84"/>
      <c r="BS25" s="84"/>
      <c r="BT25" s="84"/>
      <c r="BU25" s="84"/>
      <c r="BV25" s="2"/>
      <c r="BX25" s="2"/>
      <c r="BY25" s="2"/>
    </row>
    <row r="26" spans="1:80" x14ac:dyDescent="0.2">
      <c r="A26" s="60"/>
      <c r="F26" s="44"/>
      <c r="G26" s="85"/>
      <c r="H26" s="40">
        <v>0</v>
      </c>
      <c r="I26" s="86">
        <f>J$4/I$8+(I$4-J$4/I$8)*EXP(-$H26/I$11)</f>
        <v>40</v>
      </c>
      <c r="J26" s="86">
        <f>J$4+(I$4*I$8-J$4)*EXP(-$H26/I$11)</f>
        <v>397508.32653061231</v>
      </c>
      <c r="K26" s="85"/>
      <c r="L26" s="87">
        <f t="shared" ref="L26:L85" si="0">M$4/N$16*J$4/(I$8*I26)+(L$4*I$4/I26-M$4/N$16*J$4/(I$8*I26))*EXP(-$H26/N$20)</f>
        <v>2.1228472045473824E-2</v>
      </c>
      <c r="M26" s="87">
        <f t="shared" ref="M26:M85" si="1">M$4*J$4/(I$8*I26)+(L$4*I$4/I26*N$16-M$4*J$4/(I$8*I26))*EXP(-$H26/N$20)</f>
        <v>2.1228472045473824E-2</v>
      </c>
      <c r="N26" s="44">
        <f t="shared" ref="N26:N85" si="2">(L26/L$15-1)*1000</f>
        <v>0.8799999999999919</v>
      </c>
      <c r="O26" s="44">
        <f t="shared" ref="O26:O85" si="3">(M26/L$15-1)*1000</f>
        <v>0.8799999999999919</v>
      </c>
      <c r="P26" s="44">
        <f>(O26-O$4)/(O$5-O$4)</f>
        <v>0.99999999999999856</v>
      </c>
      <c r="Q26" s="45"/>
      <c r="R26" s="88">
        <f>S$4/R$8+(R$4-S$4/R$8)*EXP(-$H26/R$11)</f>
        <v>2.9999999999999992E-3</v>
      </c>
      <c r="S26" s="88">
        <f t="shared" ref="S26:S85" si="4">S$4+(R$4*R$8-S$4)*EXP(-$H26/R$11)</f>
        <v>5.96262489795919E-2</v>
      </c>
      <c r="T26" s="44">
        <f>(S26-S$4)/(R$8*R$4-S$4)</f>
        <v>1</v>
      </c>
      <c r="U26" s="75">
        <f t="shared" ref="U26:U85" si="5">R26/$I26*40/R$14*10^6</f>
        <v>432.27665706051863</v>
      </c>
      <c r="V26" s="44">
        <f t="shared" ref="V26:V85" si="6">S26/J26*40/6.94*10^6</f>
        <v>0.8645533141210382</v>
      </c>
      <c r="W26" s="20">
        <f t="shared" ref="W26:W85" si="7">R26/((S$4/X$4)*Y$16/R$8+(R$4/W$4-(S$4/X$4)*Y$16/R$8)*EXP(-H26/Y$20))</f>
        <v>12.452830188679231</v>
      </c>
      <c r="X26" s="20">
        <f>W26*Y$16</f>
        <v>12.415527679853311</v>
      </c>
      <c r="Y26" s="44">
        <f t="shared" ref="Y26:Y85" si="8">(W26/W$15-1)*1000</f>
        <v>22.999999999998799</v>
      </c>
      <c r="Z26" s="44">
        <f>(X26/W$15-1)*1000</f>
        <v>19.935598899949447</v>
      </c>
      <c r="AA26" s="44">
        <f t="shared" ref="AA26:AA85" si="9">(X26-X$4)/(X$5-X$4)</f>
        <v>1.000000000000381</v>
      </c>
      <c r="AB26" s="45"/>
      <c r="AC26" s="86">
        <f>AC$4</f>
        <v>888888.88888888888</v>
      </c>
      <c r="AD26" s="86">
        <f t="shared" ref="AD26:AD85" si="10">AD$4+(AC$4*AC$8-AD$4)*EXP(-$H26/AC$11)</f>
        <v>480000</v>
      </c>
      <c r="AE26" s="44">
        <f t="shared" ref="AE26:AE85" si="11">EXP(-H26/Y$20)</f>
        <v>1</v>
      </c>
      <c r="AF26" s="87">
        <f>AG$4/AH$16*AD$4/(AC$8*AC26)+(AF$4*AC$4/AC26-AG$4/AH$16*AD$4/(AC$8*AC26))*EXP(-$H26/AH$20)</f>
        <v>1.9965017599999999E-3</v>
      </c>
      <c r="AG26" s="87">
        <f>AG$4*AD$4/(AC$8*AC26)+(AF$4*AC$4/AC26*AH$16-AG$4*AD$4/(AC$8*AC26))*EXP(-$H26/AH$20)</f>
        <v>2.0611884170239998E-3</v>
      </c>
      <c r="AH26" s="44">
        <f>(AF26/AF$15-1)*1000</f>
        <v>-34.20000000000001</v>
      </c>
      <c r="AI26" s="44">
        <f>(AG26/AF$15-1)*1000</f>
        <v>-2.9080800000000906</v>
      </c>
      <c r="AJ26" s="44">
        <f>(AI26-AI$4)/(AI$5-AI$4)</f>
        <v>1.0000000000000147</v>
      </c>
      <c r="AK26" s="45"/>
      <c r="AL26" s="86">
        <f t="shared" ref="AL26:AL85" si="12">AM$4/AL$8+(AL$4-AM$4/AL$8)*EXP(-$H26/AL$11)</f>
        <v>40</v>
      </c>
      <c r="AM26" s="86">
        <f t="shared" ref="AM26:AM85" si="13">AM$4+(AL$4*AL$8-AM$4)*EXP(-$H26/AL$11)</f>
        <v>120000</v>
      </c>
      <c r="AN26" s="44"/>
      <c r="AO26" s="87">
        <f t="shared" ref="AO26:AO85" si="14">AP$4/AQ$16*AM$4/(AL$8*AL26)+(AO$4*AL$4/AL26-AP$4/AQ$16*AM$4/(AL$8*AL26))*EXP(-$H26/AQ$20)</f>
        <v>1.1223715359999999E-2</v>
      </c>
      <c r="AP26" s="87">
        <f>AP$4*AM$4/(AL$8*AL26)+(AO$4*AL$4/AL26*AQ$16-AP$4*AM$4/(AL$8*AL26))*EXP(-$H26/AQ$20)</f>
        <v>1.1234939075359997E-2</v>
      </c>
      <c r="AQ26" s="44">
        <f>(AO26/AO$15-1)*1000</f>
        <v>-1.1999999999999789</v>
      </c>
      <c r="AR26" s="44">
        <f>(AP26/AO$15-1)*1000</f>
        <v>-0.20120000000023452</v>
      </c>
      <c r="AS26" s="44">
        <f>(AR26-$AR$4)/($AR$5-$AR$4)</f>
        <v>1.0001346664990891</v>
      </c>
      <c r="AT26" s="45"/>
      <c r="AU26" s="89">
        <f t="shared" ref="AU26:AU85" si="15">AV$4/AU$8+(AU$4-AV$4/AU$8)*EXP(-$H26/AU$11)</f>
        <v>0.48000000000000043</v>
      </c>
      <c r="AV26" s="86">
        <f t="shared" ref="AV26:AV85" si="16">AV$4+(AU$4*AU$8-AV$4)*EXP(-$H26/AU$11)</f>
        <v>238.50499591836706</v>
      </c>
      <c r="AW26" s="18">
        <f>AU26/$I26*40/AU$14*10^3</f>
        <v>5.4782013238986584</v>
      </c>
      <c r="AX26" s="44">
        <f>AV26/$J26*40/AU$14*10^3</f>
        <v>0.2739100661949323</v>
      </c>
      <c r="AY26" s="44">
        <f t="shared" ref="AY26:AY85" si="17">(AV26-AV$4)/(AU$8*AU$4-AV$4)</f>
        <v>1</v>
      </c>
      <c r="AZ26" s="89">
        <f t="shared" ref="AZ26:AZ85" si="18">BA$4/AZ$8+(AZ$4-BA$4/AZ$8)*EXP(-$H26/AZ$11)</f>
        <v>10</v>
      </c>
      <c r="BA26" s="86">
        <f t="shared" ref="BA26:BA85" si="19">BA$4+(AZ$4*AZ$8-BA$4)*EXP(-$H26/AZ$11)</f>
        <v>1987.5416326530617</v>
      </c>
      <c r="BB26" s="44">
        <f>AZ26/$I26*40/AZ$14</f>
        <v>0.41152263374485598</v>
      </c>
      <c r="BC26" s="20">
        <f>BA26/$J26*40/AZ$14</f>
        <v>8.23045267489712E-3</v>
      </c>
      <c r="BD26" s="44">
        <f t="shared" ref="BD26:BD85" si="20">(BA26-BA$4)/(AZ$8*AZ$4-BA$4)</f>
        <v>1</v>
      </c>
      <c r="BE26" s="45"/>
      <c r="BF26" s="85">
        <f t="shared" ref="BF26:BF85" si="21">BG$4/BF$8+(BF$4-BG$4/BF$8)*EXP(-$H26/BF$11)</f>
        <v>1.0000000000000009E-2</v>
      </c>
      <c r="BG26" s="85">
        <f t="shared" ref="BG26:BG85" si="22">BG$4+(BF$4*BF$8-BG$4)*EXP(-$H26/BF$11)</f>
        <v>6.9563957142857902E-2</v>
      </c>
      <c r="BH26" s="18">
        <f>BF26/$I26*40/BF$14*10^6</f>
        <v>411.52263374485636</v>
      </c>
      <c r="BI26" s="18">
        <f>BG26/$J26*40/BF$14*10^6</f>
        <v>0.28806584362140231</v>
      </c>
      <c r="BJ26" s="44">
        <f t="shared" ref="BJ26:BJ85" si="23">(BG26-BG$4)/(BF$8*BF$4-BG$4)</f>
        <v>1</v>
      </c>
      <c r="BK26" s="90"/>
      <c r="BL26" s="20"/>
      <c r="BM26" s="20"/>
      <c r="BN26" s="20"/>
      <c r="BO26" s="20"/>
      <c r="BP26" s="20"/>
      <c r="BQ26" s="20"/>
      <c r="BR26" s="20"/>
      <c r="BS26" s="20"/>
      <c r="BT26" s="20"/>
      <c r="BU26" s="20"/>
      <c r="BV26" s="44"/>
      <c r="BX26" s="44"/>
      <c r="BY26" s="44"/>
      <c r="CA26" s="20"/>
      <c r="CB26" s="20"/>
    </row>
    <row r="27" spans="1:80" x14ac:dyDescent="0.2">
      <c r="A27" s="60"/>
      <c r="F27" s="44"/>
      <c r="G27" s="85"/>
      <c r="H27" s="67">
        <v>1.001001001001E-5</v>
      </c>
      <c r="I27" s="86">
        <f t="shared" ref="I27:I85" si="24">J$4/I$8+(I$4-J$4/I$8)*EXP(-$H27/I$11)</f>
        <v>39.999969973433885</v>
      </c>
      <c r="J27" s="86">
        <f t="shared" ref="J27:J85" si="25">J$4+(I$4*I$8-J$4)*EXP(-$H27/I$11)</f>
        <v>397508.02813536115</v>
      </c>
      <c r="K27" s="85"/>
      <c r="L27" s="87">
        <f t="shared" si="0"/>
        <v>2.1228470014980641E-2</v>
      </c>
      <c r="M27" s="87">
        <f t="shared" si="1"/>
        <v>2.1228470014980641E-2</v>
      </c>
      <c r="N27" s="44">
        <f t="shared" si="2"/>
        <v>0.87990426630746299</v>
      </c>
      <c r="O27" s="44">
        <f t="shared" si="3"/>
        <v>0.87990426630746299</v>
      </c>
      <c r="P27" s="44">
        <f t="shared" ref="P27:P85" si="26">(O27-O$4)/(O$5-O$4)</f>
        <v>0.999961397704624</v>
      </c>
      <c r="Q27" s="45"/>
      <c r="R27" s="88">
        <f t="shared" ref="R27:R85" si="27">S$4/R$8+(R$4-S$4/R$8)*EXP(-$H27/R$11)</f>
        <v>3.0000022036348814E-3</v>
      </c>
      <c r="S27" s="88">
        <f t="shared" si="4"/>
        <v>5.9626292777752554E-2</v>
      </c>
      <c r="T27" s="44">
        <f t="shared" ref="T27:T85" si="28">(S27-S$4)/(R$8*R$4-S$4)</f>
        <v>0.99999992042105823</v>
      </c>
      <c r="U27" s="75">
        <f t="shared" si="5"/>
        <v>432.2772990822312</v>
      </c>
      <c r="V27" s="44">
        <f t="shared" si="6"/>
        <v>0.86455459816446245</v>
      </c>
      <c r="W27" s="20">
        <f t="shared" si="7"/>
        <v>12.452830191658245</v>
      </c>
      <c r="X27" s="20">
        <f t="shared" ref="X27:X85" si="29">W27*Y$16</f>
        <v>12.4155276828234</v>
      </c>
      <c r="Y27" s="44">
        <f t="shared" si="8"/>
        <v>23.000000244724816</v>
      </c>
      <c r="Z27" s="44">
        <f t="shared" ref="Z27:Z85" si="30">(X27/W$15-1)*1000</f>
        <v>19.935599143942273</v>
      </c>
      <c r="AA27" s="44">
        <f t="shared" si="9"/>
        <v>0.99999992037865992</v>
      </c>
      <c r="AB27" s="45"/>
      <c r="AC27" s="86">
        <f t="shared" ref="AC27:AC85" si="31">AC$4</f>
        <v>888888.88888888888</v>
      </c>
      <c r="AD27" s="86">
        <f t="shared" si="10"/>
        <v>480000</v>
      </c>
      <c r="AE27" s="44">
        <f t="shared" si="11"/>
        <v>0.99999992018197692</v>
      </c>
      <c r="AF27" s="87">
        <f t="shared" ref="AF27:AF85" si="32">AG$4/AH$16*AD$4/(AC$8*AC27)+(AF$4*AC$4/AC27-AG$4/AH$16*AD$4/(AC$8*AC27))*EXP(-$H27/AH$20)</f>
        <v>1.9965017600152325E-3</v>
      </c>
      <c r="AG27" s="87">
        <f t="shared" ref="AG27:AG85" si="33">AG$4*AD$4/(AC$8*AC27)+(AF$4*AC$4/AC27*AH$16-AG$4*AD$4/(AC$8*AC27))*EXP(-$H27/AH$20)</f>
        <v>2.0611884170397259E-3</v>
      </c>
      <c r="AH27" s="44">
        <f t="shared" ref="AH27:AH84" si="34">(AF27/AF$15-1)*1000</f>
        <v>-34.199999992631348</v>
      </c>
      <c r="AI27" s="44">
        <f t="shared" ref="AI27:AI85" si="35">(AG27/AF$15-1)*1000</f>
        <v>-2.9080799923926204</v>
      </c>
      <c r="AJ27" s="44">
        <f t="shared" ref="AJ27:AJ85" si="36">(AI27-AI$4)/(AI$5-AI$4)</f>
        <v>0.99999999776782811</v>
      </c>
      <c r="AK27" s="45"/>
      <c r="AL27" s="86">
        <f t="shared" si="12"/>
        <v>40</v>
      </c>
      <c r="AM27" s="86">
        <f t="shared" si="13"/>
        <v>120000</v>
      </c>
      <c r="AN27" s="20"/>
      <c r="AO27" s="87">
        <f t="shared" si="14"/>
        <v>1.1223716058595604E-2</v>
      </c>
      <c r="AP27" s="87">
        <f t="shared" ref="AP27:AP85" si="37">AP$4*AM$4/(AL$8*AL27)+(AO$4*AL$4/AL27*AQ$16-AP$4*AM$4/(AL$8*AL27))*EXP(-$H27/AQ$20)</f>
        <v>1.1234939774654198E-2</v>
      </c>
      <c r="AQ27" s="44">
        <f t="shared" ref="AQ27:AQ85" si="38">(AO27/AO$15-1)*1000</f>
        <v>-1.1999378318794385</v>
      </c>
      <c r="AR27" s="44">
        <f t="shared" ref="AR27:AR85" si="39">(AP27/AO$15-1)*1000</f>
        <v>-0.20113776971142361</v>
      </c>
      <c r="AS27" s="44">
        <f t="shared" ref="AS27:AS85" si="40">(AR27-$AR$4)/($AR$5-$AR$4)</f>
        <v>1.0001227002856872</v>
      </c>
      <c r="AT27" s="45"/>
      <c r="AU27" s="89">
        <f t="shared" si="15"/>
        <v>0.48003277313558712</v>
      </c>
      <c r="AV27" s="86">
        <f t="shared" si="16"/>
        <v>238.52128041121887</v>
      </c>
      <c r="AW27" s="18">
        <f t="shared" ref="AW27:AW85" si="41">AU27/$I27*40/AU$14*10^3</f>
        <v>5.4785794736276268</v>
      </c>
      <c r="AX27" s="44">
        <f t="shared" ref="AX27:AX85" si="42">AV27/$J27*40/AU$14*10^3</f>
        <v>0.27392897368137953</v>
      </c>
      <c r="AY27" s="44">
        <f t="shared" si="17"/>
        <v>0.99999801156917612</v>
      </c>
      <c r="AZ27" s="89">
        <f t="shared" si="18"/>
        <v>9.9999960466607938</v>
      </c>
      <c r="BA27" s="86">
        <f t="shared" si="19"/>
        <v>1987.5408469104354</v>
      </c>
      <c r="BB27" s="44">
        <f t="shared" ref="BB27:BB85" si="43">AZ27/$I27*40/AZ$14</f>
        <v>0.4115227799713988</v>
      </c>
      <c r="BC27" s="20">
        <f t="shared" ref="BC27:BC85" si="44">BA27/$J27*40/AZ$14</f>
        <v>8.2304555994279754E-3</v>
      </c>
      <c r="BD27" s="44">
        <f t="shared" si="20"/>
        <v>0.99999920434480916</v>
      </c>
      <c r="BE27" s="45"/>
      <c r="BF27" s="85">
        <f t="shared" si="21"/>
        <v>1.0000043764972544E-2</v>
      </c>
      <c r="BG27" s="85">
        <f t="shared" si="22"/>
        <v>6.9564261589325938E-2</v>
      </c>
      <c r="BH27" s="18">
        <f t="shared" ref="BH27:BH85" si="45">BF27/$I27*40/BF$14*10^6</f>
        <v>411.52474368940574</v>
      </c>
      <c r="BI27" s="18">
        <f t="shared" ref="BI27:BI85" si="46">BG27/$J27*40/BF$14*10^6</f>
        <v>0.2880673205825896</v>
      </c>
      <c r="BJ27" s="44">
        <f t="shared" si="23"/>
        <v>0.9999999721469055</v>
      </c>
      <c r="BK27" s="90"/>
      <c r="BL27" s="20"/>
      <c r="BM27" s="20"/>
      <c r="BN27" s="20"/>
      <c r="BO27" s="20"/>
      <c r="BP27" s="20"/>
      <c r="BQ27" s="20"/>
      <c r="BR27" s="20"/>
      <c r="BS27" s="20"/>
      <c r="BT27" s="20"/>
      <c r="BU27" s="20"/>
      <c r="BV27" s="44"/>
      <c r="BX27" s="44"/>
      <c r="BY27" s="44"/>
      <c r="CA27" s="20"/>
      <c r="CB27" s="20"/>
    </row>
    <row r="28" spans="1:80" x14ac:dyDescent="0.2">
      <c r="A28" s="60"/>
      <c r="F28" s="44"/>
      <c r="G28" s="85"/>
      <c r="H28" s="40">
        <v>1.0101010101010102E-2</v>
      </c>
      <c r="I28" s="86">
        <f t="shared" si="24"/>
        <v>39.970293614765048</v>
      </c>
      <c r="J28" s="86">
        <f t="shared" si="25"/>
        <v>397213.11314356182</v>
      </c>
      <c r="K28" s="85"/>
      <c r="L28" s="87">
        <f t="shared" si="0"/>
        <v>2.1226461712470789E-2</v>
      </c>
      <c r="M28" s="87">
        <f t="shared" si="1"/>
        <v>2.1226461712470789E-2</v>
      </c>
      <c r="N28" s="44">
        <f t="shared" si="2"/>
        <v>0.785216819572776</v>
      </c>
      <c r="O28" s="44">
        <f t="shared" si="3"/>
        <v>0.785216819572776</v>
      </c>
      <c r="P28" s="44">
        <f t="shared" si="26"/>
        <v>0.96178097563418563</v>
      </c>
      <c r="Q28" s="45"/>
      <c r="R28" s="88">
        <f t="shared" si="27"/>
        <v>3.0022235787314847E-3</v>
      </c>
      <c r="S28" s="88">
        <f t="shared" si="4"/>
        <v>5.967044353261497E-2</v>
      </c>
      <c r="T28" s="44">
        <f t="shared" si="28"/>
        <v>0.99991970083431281</v>
      </c>
      <c r="U28" s="75">
        <f t="shared" si="5"/>
        <v>432.91856859845819</v>
      </c>
      <c r="V28" s="44">
        <f t="shared" si="6"/>
        <v>0.86583713719691691</v>
      </c>
      <c r="W28" s="20">
        <f t="shared" si="7"/>
        <v>12.4528331935316</v>
      </c>
      <c r="X28" s="20">
        <f t="shared" si="29"/>
        <v>12.41553067570463</v>
      </c>
      <c r="Y28" s="44">
        <f t="shared" si="8"/>
        <v>23.000246848621011</v>
      </c>
      <c r="Z28" s="44">
        <f t="shared" si="30"/>
        <v>19.935845009135367</v>
      </c>
      <c r="AA28" s="44">
        <f t="shared" si="9"/>
        <v>0.99991968767249195</v>
      </c>
      <c r="AB28" s="45"/>
      <c r="AC28" s="86">
        <f t="shared" si="31"/>
        <v>888888.88888888888</v>
      </c>
      <c r="AD28" s="86">
        <f t="shared" si="10"/>
        <v>480000</v>
      </c>
      <c r="AE28" s="44">
        <f t="shared" si="11"/>
        <v>0.99991945959884077</v>
      </c>
      <c r="AF28" s="87">
        <f t="shared" si="32"/>
        <v>1.9965017753712675E-3</v>
      </c>
      <c r="AG28" s="87">
        <f t="shared" si="33"/>
        <v>2.0611884328932966E-3</v>
      </c>
      <c r="AH28" s="44">
        <f t="shared" si="34"/>
        <v>-34.199992564208806</v>
      </c>
      <c r="AI28" s="44">
        <f t="shared" si="35"/>
        <v>-2.908072323289157</v>
      </c>
      <c r="AJ28" s="44">
        <f t="shared" si="36"/>
        <v>0.9999977474968651</v>
      </c>
      <c r="AK28" s="45"/>
      <c r="AL28" s="86">
        <f t="shared" si="12"/>
        <v>40</v>
      </c>
      <c r="AM28" s="86">
        <f t="shared" si="13"/>
        <v>120000</v>
      </c>
      <c r="AN28" s="20"/>
      <c r="AO28" s="87">
        <f t="shared" si="14"/>
        <v>1.1224416072175262E-2</v>
      </c>
      <c r="AP28" s="87">
        <f t="shared" si="37"/>
        <v>1.1235640488247435E-2</v>
      </c>
      <c r="AQ28" s="44">
        <f t="shared" si="38"/>
        <v>-1.1376435254990547</v>
      </c>
      <c r="AR28" s="44">
        <f t="shared" si="39"/>
        <v>-0.13878116902465987</v>
      </c>
      <c r="AS28" s="44">
        <f t="shared" si="40"/>
        <v>0.9881321984722844</v>
      </c>
      <c r="AT28" s="45"/>
      <c r="AU28" s="89">
        <f t="shared" si="15"/>
        <v>0.51303794949786408</v>
      </c>
      <c r="AV28" s="86">
        <f t="shared" si="16"/>
        <v>254.92107093949016</v>
      </c>
      <c r="AW28" s="18">
        <f t="shared" si="41"/>
        <v>5.8596124771173388</v>
      </c>
      <c r="AX28" s="44">
        <f t="shared" si="42"/>
        <v>0.2929806238558661</v>
      </c>
      <c r="AY28" s="44">
        <f t="shared" si="17"/>
        <v>0.99799550223173461</v>
      </c>
      <c r="AZ28" s="89">
        <f t="shared" si="18"/>
        <v>9.9960123208046738</v>
      </c>
      <c r="BA28" s="86">
        <f t="shared" si="19"/>
        <v>1986.7490648112243</v>
      </c>
      <c r="BB28" s="44">
        <f t="shared" si="43"/>
        <v>0.41166425814635577</v>
      </c>
      <c r="BC28" s="20">
        <f t="shared" si="44"/>
        <v>8.2332851629271179E-3</v>
      </c>
      <c r="BD28" s="44">
        <f t="shared" si="20"/>
        <v>0.99919743348975765</v>
      </c>
      <c r="BE28" s="45"/>
      <c r="BF28" s="85">
        <f t="shared" si="21"/>
        <v>1.004416221601101E-2</v>
      </c>
      <c r="BG28" s="85">
        <f t="shared" si="22"/>
        <v>6.9871166993049627E-2</v>
      </c>
      <c r="BH28" s="18">
        <f t="shared" si="45"/>
        <v>413.64720797212652</v>
      </c>
      <c r="BI28" s="18">
        <f t="shared" si="46"/>
        <v>0.28955304558048905</v>
      </c>
      <c r="BJ28" s="44">
        <f t="shared" si="23"/>
        <v>0.99997189409013632</v>
      </c>
      <c r="BK28" s="90"/>
      <c r="BL28" s="20"/>
      <c r="BM28" s="20"/>
      <c r="BN28" s="20"/>
      <c r="BO28" s="20"/>
      <c r="BP28" s="20"/>
      <c r="BQ28" s="20"/>
      <c r="BR28" s="20"/>
      <c r="BS28" s="20"/>
      <c r="BT28" s="20"/>
      <c r="BU28" s="20"/>
      <c r="BV28" s="44"/>
      <c r="BX28" s="44"/>
      <c r="BY28" s="44"/>
      <c r="CA28" s="20"/>
      <c r="CB28" s="20"/>
    </row>
    <row r="29" spans="1:80" x14ac:dyDescent="0.2">
      <c r="A29" s="60"/>
      <c r="F29" s="44"/>
      <c r="G29" s="85"/>
      <c r="H29" s="40">
        <v>3.1111111111110999E-2</v>
      </c>
      <c r="I29" s="86">
        <f t="shared" si="24"/>
        <v>39.912157166315801</v>
      </c>
      <c r="J29" s="86">
        <f t="shared" si="25"/>
        <v>396635.37008522451</v>
      </c>
      <c r="K29" s="85"/>
      <c r="L29" s="87">
        <f t="shared" si="0"/>
        <v>2.1222518760552814E-2</v>
      </c>
      <c r="M29" s="87">
        <f t="shared" si="1"/>
        <v>2.1222518760552814E-2</v>
      </c>
      <c r="N29" s="44">
        <f t="shared" si="2"/>
        <v>0.59931452254424755</v>
      </c>
      <c r="O29" s="44">
        <f t="shared" si="3"/>
        <v>0.59931452254424755</v>
      </c>
      <c r="P29" s="44">
        <f t="shared" si="26"/>
        <v>0.88682037199364983</v>
      </c>
      <c r="Q29" s="45"/>
      <c r="R29" s="88">
        <f t="shared" si="27"/>
        <v>3.0068480505732881E-3</v>
      </c>
      <c r="S29" s="88">
        <f t="shared" si="4"/>
        <v>5.9762356835761143E-2</v>
      </c>
      <c r="T29" s="44">
        <f t="shared" si="28"/>
        <v>0.999752699223179</v>
      </c>
      <c r="U29" s="75">
        <f t="shared" si="5"/>
        <v>434.21697911055776</v>
      </c>
      <c r="V29" s="44">
        <f t="shared" si="6"/>
        <v>0.86843395822111624</v>
      </c>
      <c r="W29" s="20">
        <f t="shared" si="7"/>
        <v>12.452839435736827</v>
      </c>
      <c r="X29" s="20">
        <f t="shared" si="29"/>
        <v>12.415536899211304</v>
      </c>
      <c r="Y29" s="44">
        <f t="shared" si="8"/>
        <v>23.000759645780413</v>
      </c>
      <c r="Z29" s="44">
        <f t="shared" si="30"/>
        <v>19.93635627020862</v>
      </c>
      <c r="AA29" s="44">
        <f t="shared" si="9"/>
        <v>0.99975284884932847</v>
      </c>
      <c r="AB29" s="45"/>
      <c r="AC29" s="86">
        <f t="shared" si="31"/>
        <v>888888.88888888888</v>
      </c>
      <c r="AD29" s="86">
        <f t="shared" si="10"/>
        <v>480000</v>
      </c>
      <c r="AE29" s="44">
        <f t="shared" si="11"/>
        <v>0.99975195634220471</v>
      </c>
      <c r="AF29" s="87">
        <f t="shared" si="32"/>
        <v>1.996501807343393E-3</v>
      </c>
      <c r="AG29" s="87">
        <f t="shared" si="33"/>
        <v>2.0611884659013186E-3</v>
      </c>
      <c r="AH29" s="44">
        <f t="shared" si="34"/>
        <v>-34.199977097816856</v>
      </c>
      <c r="AI29" s="44">
        <f t="shared" si="35"/>
        <v>-2.9080563557862815</v>
      </c>
      <c r="AJ29" s="44">
        <f t="shared" si="36"/>
        <v>0.99999306230670659</v>
      </c>
      <c r="AK29" s="45"/>
      <c r="AL29" s="86">
        <f t="shared" si="12"/>
        <v>40</v>
      </c>
      <c r="AM29" s="86">
        <f t="shared" si="13"/>
        <v>120000</v>
      </c>
      <c r="AN29" s="20"/>
      <c r="AO29" s="87">
        <f t="shared" si="14"/>
        <v>1.1225846733677301E-2</v>
      </c>
      <c r="AP29" s="87">
        <f t="shared" si="37"/>
        <v>1.1237072580410977E-2</v>
      </c>
      <c r="AQ29" s="44">
        <f t="shared" si="38"/>
        <v>-1.0103287582937659</v>
      </c>
      <c r="AR29" s="44">
        <f t="shared" si="39"/>
        <v>-1.133908705208686E-2</v>
      </c>
      <c r="AS29" s="44">
        <f t="shared" si="40"/>
        <v>0.96362646053650358</v>
      </c>
      <c r="AT29" s="45"/>
      <c r="AU29" s="89">
        <f t="shared" si="15"/>
        <v>0.58154490721887342</v>
      </c>
      <c r="AV29" s="86">
        <f t="shared" si="16"/>
        <v>288.96117858871821</v>
      </c>
      <c r="AW29" s="18">
        <f t="shared" si="41"/>
        <v>6.6517328445346697</v>
      </c>
      <c r="AX29" s="44">
        <f t="shared" si="42"/>
        <v>0.33258664222673351</v>
      </c>
      <c r="AY29" s="44">
        <f t="shared" si="17"/>
        <v>0.99383900808032555</v>
      </c>
      <c r="AZ29" s="89">
        <f t="shared" si="18"/>
        <v>9.9877281965666445</v>
      </c>
      <c r="BA29" s="86">
        <f t="shared" si="19"/>
        <v>1985.1025606299088</v>
      </c>
      <c r="BB29" s="44">
        <f t="shared" si="43"/>
        <v>0.41192223166005004</v>
      </c>
      <c r="BC29" s="20">
        <f t="shared" si="44"/>
        <v>8.2384446332010013E-3</v>
      </c>
      <c r="BD29" s="44">
        <f t="shared" si="20"/>
        <v>0.99753015777512055</v>
      </c>
      <c r="BE29" s="45"/>
      <c r="BF29" s="85">
        <f t="shared" si="21"/>
        <v>1.0136015649480523E-2</v>
      </c>
      <c r="BG29" s="85">
        <f t="shared" si="22"/>
        <v>7.0510135823978359E-2</v>
      </c>
      <c r="BH29" s="18">
        <f t="shared" si="45"/>
        <v>418.03802669664975</v>
      </c>
      <c r="BI29" s="18">
        <f t="shared" si="46"/>
        <v>0.29262661868765111</v>
      </c>
      <c r="BJ29" s="44">
        <f t="shared" si="23"/>
        <v>0.99991343632793694</v>
      </c>
      <c r="BK29" s="90"/>
      <c r="BL29" s="20"/>
      <c r="BM29" s="20"/>
      <c r="BN29" s="20"/>
      <c r="BO29" s="20"/>
      <c r="BP29" s="20"/>
      <c r="BQ29" s="20"/>
      <c r="BR29" s="20"/>
      <c r="BS29" s="20"/>
      <c r="BT29" s="20"/>
      <c r="BU29" s="20"/>
      <c r="BV29" s="44"/>
      <c r="BX29" s="44"/>
      <c r="BY29" s="44"/>
      <c r="CA29" s="20"/>
      <c r="CB29" s="20"/>
    </row>
    <row r="30" spans="1:80" x14ac:dyDescent="0.2">
      <c r="A30" s="60"/>
      <c r="F30" s="44"/>
      <c r="G30" s="85"/>
      <c r="H30" s="40">
        <v>0.06</v>
      </c>
      <c r="I30" s="86">
        <f t="shared" si="24"/>
        <v>39.839669794602635</v>
      </c>
      <c r="J30" s="86">
        <f t="shared" si="25"/>
        <v>395915.01173961692</v>
      </c>
      <c r="K30" s="85"/>
      <c r="L30" s="87">
        <f t="shared" si="0"/>
        <v>2.121758637581337E-2</v>
      </c>
      <c r="M30" s="87">
        <f t="shared" si="1"/>
        <v>2.121758637581337E-2</v>
      </c>
      <c r="N30" s="44">
        <f t="shared" si="2"/>
        <v>0.36676244684885617</v>
      </c>
      <c r="O30" s="44">
        <f t="shared" si="3"/>
        <v>0.36676244684885617</v>
      </c>
      <c r="P30" s="44">
        <f t="shared" si="26"/>
        <v>0.793049373729379</v>
      </c>
      <c r="Q30" s="45"/>
      <c r="R30" s="88">
        <f t="shared" si="27"/>
        <v>3.0132054382691273E-3</v>
      </c>
      <c r="S30" s="88">
        <f t="shared" si="4"/>
        <v>5.988871256296513E-2</v>
      </c>
      <c r="T30" s="44">
        <f t="shared" si="28"/>
        <v>0.99952311754896261</v>
      </c>
      <c r="U30" s="75">
        <f t="shared" si="5"/>
        <v>435.9267636527174</v>
      </c>
      <c r="V30" s="44">
        <f t="shared" si="6"/>
        <v>0.87185352730543586</v>
      </c>
      <c r="W30" s="20">
        <f t="shared" si="7"/>
        <v>12.452848001452756</v>
      </c>
      <c r="X30" s="20">
        <f t="shared" si="29"/>
        <v>12.415545439268591</v>
      </c>
      <c r="Y30" s="44">
        <f t="shared" si="8"/>
        <v>23.001463319343827</v>
      </c>
      <c r="Z30" s="44">
        <f t="shared" si="30"/>
        <v>19.937057835914818</v>
      </c>
      <c r="AA30" s="44">
        <f t="shared" si="9"/>
        <v>0.99952390828860171</v>
      </c>
      <c r="AB30" s="45"/>
      <c r="AC30" s="86">
        <f t="shared" si="31"/>
        <v>888888.88888888888</v>
      </c>
      <c r="AD30" s="86">
        <f t="shared" si="10"/>
        <v>480000</v>
      </c>
      <c r="AE30" s="44">
        <f t="shared" si="11"/>
        <v>0.99952168517943785</v>
      </c>
      <c r="AF30" s="87">
        <f t="shared" si="32"/>
        <v>1.9965018513048208E-3</v>
      </c>
      <c r="AG30" s="87">
        <f t="shared" si="33"/>
        <v>2.0611885112870967E-3</v>
      </c>
      <c r="AH30" s="44">
        <f t="shared" si="34"/>
        <v>-34.199955831646257</v>
      </c>
      <c r="AI30" s="44">
        <f t="shared" si="35"/>
        <v>-2.9080344005917302</v>
      </c>
      <c r="AJ30" s="44">
        <f t="shared" si="36"/>
        <v>0.99998662020600726</v>
      </c>
      <c r="AK30" s="45"/>
      <c r="AL30" s="86">
        <f t="shared" si="12"/>
        <v>40</v>
      </c>
      <c r="AM30" s="86">
        <f t="shared" si="13"/>
        <v>120000</v>
      </c>
      <c r="AN30" s="20"/>
      <c r="AO30" s="87">
        <f t="shared" si="14"/>
        <v>1.1227756140547248E-2</v>
      </c>
      <c r="AP30" s="87">
        <f t="shared" si="37"/>
        <v>1.1238983896687793E-2</v>
      </c>
      <c r="AQ30" s="44">
        <f t="shared" si="38"/>
        <v>-0.84041037382542871</v>
      </c>
      <c r="AR30" s="44">
        <f t="shared" si="39"/>
        <v>0.15874921580061319</v>
      </c>
      <c r="AS30" s="44">
        <f t="shared" si="40"/>
        <v>0.93092031425315103</v>
      </c>
      <c r="AT30" s="45"/>
      <c r="AU30" s="89">
        <f t="shared" si="15"/>
        <v>0.67527634158508576</v>
      </c>
      <c r="AV30" s="86">
        <f t="shared" si="16"/>
        <v>335.53496061150145</v>
      </c>
      <c r="AW30" s="18">
        <f t="shared" si="41"/>
        <v>7.7378899129539356</v>
      </c>
      <c r="AX30" s="44">
        <f t="shared" si="42"/>
        <v>0.38689449564769618</v>
      </c>
      <c r="AY30" s="44">
        <f t="shared" si="17"/>
        <v>0.98815207974914887</v>
      </c>
      <c r="AZ30" s="89">
        <f t="shared" si="18"/>
        <v>9.9763600914189539</v>
      </c>
      <c r="BA30" s="86">
        <f t="shared" si="19"/>
        <v>1982.8431024033678</v>
      </c>
      <c r="BB30" s="44">
        <f t="shared" si="43"/>
        <v>0.41220200881925995</v>
      </c>
      <c r="BC30" s="20">
        <f t="shared" si="44"/>
        <v>8.2440401763852009E-3</v>
      </c>
      <c r="BD30" s="44">
        <f t="shared" si="20"/>
        <v>0.99524219527123003</v>
      </c>
      <c r="BE30" s="45"/>
      <c r="BF30" s="85">
        <f t="shared" si="21"/>
        <v>1.0262305352856549E-2</v>
      </c>
      <c r="BG30" s="85">
        <f t="shared" si="22"/>
        <v>7.1388656975303277E-2</v>
      </c>
      <c r="BH30" s="18">
        <f t="shared" si="45"/>
        <v>424.01665966354005</v>
      </c>
      <c r="BI30" s="18">
        <f t="shared" si="46"/>
        <v>0.29681166176448065</v>
      </c>
      <c r="BJ30" s="44">
        <f t="shared" si="23"/>
        <v>0.99983306248485504</v>
      </c>
      <c r="BK30" s="90"/>
      <c r="BL30" s="20"/>
      <c r="BM30" s="20"/>
      <c r="BN30" s="20"/>
      <c r="BO30" s="20"/>
      <c r="BP30" s="20"/>
      <c r="BQ30" s="20"/>
      <c r="BR30" s="20"/>
      <c r="BS30" s="20"/>
      <c r="BT30" s="20"/>
      <c r="BU30" s="20"/>
      <c r="BV30" s="44"/>
      <c r="BX30" s="44"/>
      <c r="BY30" s="44"/>
      <c r="CA30" s="20"/>
      <c r="CB30" s="20"/>
    </row>
    <row r="31" spans="1:80" x14ac:dyDescent="0.2">
      <c r="A31" s="60"/>
      <c r="B31" s="61"/>
      <c r="C31" s="20"/>
      <c r="D31" s="20"/>
      <c r="F31" s="44"/>
      <c r="G31" s="85"/>
      <c r="H31" s="40">
        <v>9.6363636363635999E-2</v>
      </c>
      <c r="I31" s="86">
        <f t="shared" si="24"/>
        <v>39.75938577645006</v>
      </c>
      <c r="J31" s="86">
        <f t="shared" si="25"/>
        <v>395117.17259704228</v>
      </c>
      <c r="K31" s="85"/>
      <c r="L31" s="87">
        <f t="shared" si="0"/>
        <v>2.121210247959528E-2</v>
      </c>
      <c r="M31" s="87">
        <f t="shared" si="1"/>
        <v>2.121210247959528E-2</v>
      </c>
      <c r="N31" s="44">
        <f t="shared" si="2"/>
        <v>0.10820770795838541</v>
      </c>
      <c r="O31" s="44">
        <f t="shared" si="3"/>
        <v>0.10820770795838541</v>
      </c>
      <c r="P31" s="44">
        <f t="shared" si="26"/>
        <v>0.6887934306283825</v>
      </c>
      <c r="Q31" s="45"/>
      <c r="R31" s="88">
        <f t="shared" si="27"/>
        <v>3.0212056691272075E-3</v>
      </c>
      <c r="S31" s="88">
        <f t="shared" si="4"/>
        <v>6.0047720481977818E-2</v>
      </c>
      <c r="T31" s="44">
        <f t="shared" si="28"/>
        <v>0.99923420856898704</v>
      </c>
      <c r="U31" s="75">
        <f t="shared" si="5"/>
        <v>437.9667547467173</v>
      </c>
      <c r="V31" s="44">
        <f t="shared" si="6"/>
        <v>0.87593350949343562</v>
      </c>
      <c r="W31" s="20">
        <f t="shared" si="7"/>
        <v>12.452858755154944</v>
      </c>
      <c r="X31" s="20">
        <f t="shared" si="29"/>
        <v>12.415556160758017</v>
      </c>
      <c r="Y31" s="44">
        <f t="shared" si="8"/>
        <v>23.002346735978563</v>
      </c>
      <c r="Z31" s="44">
        <f t="shared" si="30"/>
        <v>19.937938606271022</v>
      </c>
      <c r="AA31" s="44">
        <f t="shared" si="9"/>
        <v>0.99923648822589006</v>
      </c>
      <c r="AB31" s="45"/>
      <c r="AC31" s="86">
        <f t="shared" si="31"/>
        <v>888888.88888888888</v>
      </c>
      <c r="AD31" s="86">
        <f t="shared" si="10"/>
        <v>480000</v>
      </c>
      <c r="AE31" s="44">
        <f t="shared" si="11"/>
        <v>0.99923190876266277</v>
      </c>
      <c r="AF31" s="87">
        <f t="shared" si="32"/>
        <v>1.9965019066404814E-3</v>
      </c>
      <c r="AG31" s="87">
        <f t="shared" si="33"/>
        <v>2.061188568415633E-3</v>
      </c>
      <c r="AH31" s="44">
        <f t="shared" si="34"/>
        <v>-34.199929063234656</v>
      </c>
      <c r="AI31" s="44">
        <f t="shared" si="35"/>
        <v>-2.9080067648834529</v>
      </c>
      <c r="AJ31" s="44">
        <f t="shared" si="36"/>
        <v>0.99997851132702642</v>
      </c>
      <c r="AK31" s="45"/>
      <c r="AL31" s="86">
        <f t="shared" si="12"/>
        <v>40</v>
      </c>
      <c r="AM31" s="86">
        <f t="shared" si="13"/>
        <v>120000</v>
      </c>
      <c r="AN31" s="20"/>
      <c r="AO31" s="87">
        <f t="shared" si="14"/>
        <v>1.1230067733060059E-2</v>
      </c>
      <c r="AP31" s="87">
        <f t="shared" si="37"/>
        <v>1.1241297800793118E-2</v>
      </c>
      <c r="AQ31" s="44">
        <f t="shared" si="38"/>
        <v>-0.63470143273591795</v>
      </c>
      <c r="AR31" s="44">
        <f t="shared" si="39"/>
        <v>0.36466386583122734</v>
      </c>
      <c r="AS31" s="44">
        <f t="shared" si="40"/>
        <v>0.89132514778471383</v>
      </c>
      <c r="AT31" s="45"/>
      <c r="AU31" s="89">
        <f t="shared" si="15"/>
        <v>0.79249787691425766</v>
      </c>
      <c r="AV31" s="86">
        <f t="shared" si="16"/>
        <v>393.78063103906152</v>
      </c>
      <c r="AW31" s="18">
        <f t="shared" si="41"/>
        <v>9.0994508460399324</v>
      </c>
      <c r="AX31" s="44">
        <f t="shared" si="42"/>
        <v>0.4549725423019958</v>
      </c>
      <c r="AY31" s="44">
        <f t="shared" si="17"/>
        <v>0.98103994629258662</v>
      </c>
      <c r="AZ31" s="89">
        <f t="shared" si="18"/>
        <v>9.9620876477988869</v>
      </c>
      <c r="BA31" s="86">
        <f t="shared" si="19"/>
        <v>1980.0063948139098</v>
      </c>
      <c r="BB31" s="44">
        <f t="shared" si="43"/>
        <v>0.41244344864578358</v>
      </c>
      <c r="BC31" s="20">
        <f t="shared" si="44"/>
        <v>8.2488689729156729E-3</v>
      </c>
      <c r="BD31" s="44">
        <f t="shared" si="20"/>
        <v>0.9923697010941116</v>
      </c>
      <c r="BE31" s="45"/>
      <c r="BF31" s="85">
        <f t="shared" si="21"/>
        <v>1.0421256982256377E-2</v>
      </c>
      <c r="BG31" s="85">
        <f t="shared" si="22"/>
        <v>7.2494387408838179E-2</v>
      </c>
      <c r="BH31" s="18">
        <f t="shared" si="45"/>
        <v>431.45365920720945</v>
      </c>
      <c r="BI31" s="18">
        <f t="shared" si="46"/>
        <v>0.30201756144504593</v>
      </c>
      <c r="BJ31" s="44">
        <f t="shared" si="23"/>
        <v>0.99973190179655314</v>
      </c>
      <c r="BK31" s="90"/>
      <c r="BL31" s="20"/>
      <c r="BM31" s="20"/>
      <c r="BN31" s="20"/>
      <c r="BO31" s="20"/>
      <c r="BP31" s="20"/>
      <c r="BQ31" s="20"/>
      <c r="BR31" s="20"/>
      <c r="BS31" s="20"/>
      <c r="BT31" s="20"/>
      <c r="BU31" s="20"/>
      <c r="BV31" s="44"/>
      <c r="BX31" s="44"/>
      <c r="BY31" s="44"/>
      <c r="CA31" s="20"/>
      <c r="CB31" s="20"/>
    </row>
    <row r="32" spans="1:80" x14ac:dyDescent="0.2">
      <c r="A32" s="60"/>
      <c r="B32" s="61"/>
      <c r="F32" s="44"/>
      <c r="G32" s="85"/>
      <c r="H32" s="40">
        <v>0.14942528735632185</v>
      </c>
      <c r="I32" s="86">
        <f t="shared" si="24"/>
        <v>39.661025990387415</v>
      </c>
      <c r="J32" s="86">
        <f t="shared" si="25"/>
        <v>394139.70174815058</v>
      </c>
      <c r="K32" s="85"/>
      <c r="L32" s="87">
        <f t="shared" si="0"/>
        <v>2.1205353634070345E-2</v>
      </c>
      <c r="M32" s="87">
        <f t="shared" si="1"/>
        <v>2.1205353634070345E-2</v>
      </c>
      <c r="N32" s="44">
        <f t="shared" si="2"/>
        <v>-0.20998686085127449</v>
      </c>
      <c r="O32" s="44">
        <f t="shared" si="3"/>
        <v>-0.20998686085127449</v>
      </c>
      <c r="P32" s="44">
        <f t="shared" si="26"/>
        <v>0.56048916901158385</v>
      </c>
      <c r="Q32" s="45"/>
      <c r="R32" s="88">
        <f t="shared" si="27"/>
        <v>3.0328754203601295E-3</v>
      </c>
      <c r="S32" s="88">
        <f t="shared" si="4"/>
        <v>6.0279661646159166E-2</v>
      </c>
      <c r="T32" s="44">
        <f t="shared" si="28"/>
        <v>0.99881278373949367</v>
      </c>
      <c r="U32" s="75">
        <f t="shared" si="5"/>
        <v>440.74880910781189</v>
      </c>
      <c r="V32" s="44">
        <f t="shared" si="6"/>
        <v>0.88149761821562445</v>
      </c>
      <c r="W32" s="20">
        <f t="shared" si="7"/>
        <v>12.452874390782421</v>
      </c>
      <c r="X32" s="20">
        <f t="shared" si="29"/>
        <v>12.415571749548901</v>
      </c>
      <c r="Y32" s="44">
        <f t="shared" si="8"/>
        <v>23.003631202775932</v>
      </c>
      <c r="Z32" s="44">
        <f t="shared" si="30"/>
        <v>19.939219225442173</v>
      </c>
      <c r="AA32" s="44">
        <f t="shared" si="9"/>
        <v>0.99881858628378006</v>
      </c>
      <c r="AB32" s="45"/>
      <c r="AC32" s="86">
        <f t="shared" si="31"/>
        <v>888888.88888888888</v>
      </c>
      <c r="AD32" s="86">
        <f t="shared" si="10"/>
        <v>480000</v>
      </c>
      <c r="AE32" s="44">
        <f t="shared" si="11"/>
        <v>0.9988092190746175</v>
      </c>
      <c r="AF32" s="87">
        <f t="shared" si="32"/>
        <v>1.9965019873852178E-3</v>
      </c>
      <c r="AG32" s="87">
        <f t="shared" si="33"/>
        <v>2.0611886517764985E-3</v>
      </c>
      <c r="AH32" s="44">
        <f t="shared" si="34"/>
        <v>-34.199890003280828</v>
      </c>
      <c r="AI32" s="44">
        <f t="shared" si="35"/>
        <v>-2.9079664393872884</v>
      </c>
      <c r="AJ32" s="44">
        <f t="shared" si="36"/>
        <v>0.99996667900614056</v>
      </c>
      <c r="AK32" s="45"/>
      <c r="AL32" s="86">
        <f t="shared" si="12"/>
        <v>40</v>
      </c>
      <c r="AM32" s="86">
        <f t="shared" si="13"/>
        <v>120000</v>
      </c>
      <c r="AN32" s="20"/>
      <c r="AO32" s="87">
        <f t="shared" si="14"/>
        <v>1.1233265545738834E-2</v>
      </c>
      <c r="AP32" s="87">
        <f t="shared" si="37"/>
        <v>1.1244498811284571E-2</v>
      </c>
      <c r="AQ32" s="44">
        <f t="shared" si="38"/>
        <v>-0.35012763510178235</v>
      </c>
      <c r="AR32" s="44">
        <f t="shared" si="39"/>
        <v>0.64952223726311153</v>
      </c>
      <c r="AS32" s="44">
        <f t="shared" si="40"/>
        <v>0.83654995507697549</v>
      </c>
      <c r="AT32" s="45"/>
      <c r="AU32" s="89">
        <f t="shared" si="15"/>
        <v>0.96203490122227109</v>
      </c>
      <c r="AV32" s="86">
        <f t="shared" si="16"/>
        <v>478.02110456113496</v>
      </c>
      <c r="AW32" s="18">
        <f t="shared" si="41"/>
        <v>11.07346725134706</v>
      </c>
      <c r="AX32" s="44">
        <f t="shared" si="42"/>
        <v>0.553673362567353</v>
      </c>
      <c r="AY32" s="44">
        <f t="shared" si="17"/>
        <v>0.97075369693302072</v>
      </c>
      <c r="AZ32" s="89">
        <f t="shared" si="18"/>
        <v>9.941335241365298</v>
      </c>
      <c r="BA32" s="86">
        <f t="shared" si="19"/>
        <v>1975.8817676374601</v>
      </c>
      <c r="BB32" s="44">
        <f t="shared" si="43"/>
        <v>0.4126050054740138</v>
      </c>
      <c r="BC32" s="20">
        <f t="shared" si="44"/>
        <v>8.2521001094802756E-3</v>
      </c>
      <c r="BD32" s="44">
        <f t="shared" si="20"/>
        <v>0.988193039533658</v>
      </c>
      <c r="BE32" s="45"/>
      <c r="BF32" s="85">
        <f t="shared" si="21"/>
        <v>1.0653169614200486E-2</v>
      </c>
      <c r="BG32" s="85">
        <f t="shared" si="22"/>
        <v>7.4107663447783523E-2</v>
      </c>
      <c r="BH32" s="18">
        <f t="shared" si="45"/>
        <v>442.14896694089595</v>
      </c>
      <c r="BI32" s="18">
        <f t="shared" si="46"/>
        <v>0.30950427685862902</v>
      </c>
      <c r="BJ32" s="44">
        <f t="shared" si="23"/>
        <v>0.99958430694922784</v>
      </c>
      <c r="BK32" s="90"/>
      <c r="BL32" s="20"/>
      <c r="BM32" s="20"/>
      <c r="BN32" s="20"/>
      <c r="BO32" s="20"/>
      <c r="BP32" s="20"/>
      <c r="BQ32" s="20"/>
      <c r="BR32" s="20"/>
      <c r="BS32" s="20"/>
      <c r="BT32" s="20"/>
      <c r="BU32" s="20"/>
      <c r="BV32" s="44"/>
      <c r="BX32" s="44"/>
      <c r="BY32" s="44"/>
      <c r="CA32" s="20"/>
      <c r="CB32" s="20"/>
    </row>
    <row r="33" spans="1:80" x14ac:dyDescent="0.2">
      <c r="A33" s="60"/>
      <c r="B33" s="61"/>
      <c r="C33" s="91"/>
      <c r="D33" s="91"/>
      <c r="F33" s="44"/>
      <c r="G33" s="85"/>
      <c r="H33" s="40">
        <v>0.16279069767441862</v>
      </c>
      <c r="I33" s="86">
        <f t="shared" si="24"/>
        <v>39.639320326054644</v>
      </c>
      <c r="J33" s="86">
        <f t="shared" si="25"/>
        <v>393923.99719052168</v>
      </c>
      <c r="K33" s="85"/>
      <c r="L33" s="87">
        <f t="shared" si="0"/>
        <v>2.120385981340862E-2</v>
      </c>
      <c r="M33" s="87">
        <f t="shared" si="1"/>
        <v>2.120385981340862E-2</v>
      </c>
      <c r="N33" s="44">
        <f t="shared" si="2"/>
        <v>-0.28041751741025855</v>
      </c>
      <c r="O33" s="44">
        <f t="shared" si="3"/>
        <v>-0.28041751741025855</v>
      </c>
      <c r="P33" s="44">
        <f t="shared" si="26"/>
        <v>0.53208971072167088</v>
      </c>
      <c r="Q33" s="45"/>
      <c r="R33" s="88">
        <f t="shared" si="27"/>
        <v>3.0358140743887221E-3</v>
      </c>
      <c r="S33" s="88">
        <f t="shared" si="4"/>
        <v>6.0338068618417062E-2</v>
      </c>
      <c r="T33" s="44">
        <f t="shared" si="28"/>
        <v>0.99870666135965713</v>
      </c>
      <c r="U33" s="75">
        <f t="shared" si="5"/>
        <v>441.41744400578824</v>
      </c>
      <c r="V33" s="44">
        <f t="shared" si="6"/>
        <v>0.88283488801157683</v>
      </c>
      <c r="W33" s="20">
        <f t="shared" si="7"/>
        <v>12.452878318735131</v>
      </c>
      <c r="X33" s="20">
        <f t="shared" si="29"/>
        <v>12.41557566573541</v>
      </c>
      <c r="Y33" s="44">
        <f t="shared" si="8"/>
        <v>23.003953884090933</v>
      </c>
      <c r="Z33" s="44">
        <f t="shared" si="30"/>
        <v>19.939540940163923</v>
      </c>
      <c r="AA33" s="44">
        <f t="shared" si="9"/>
        <v>0.99871360174969481</v>
      </c>
      <c r="AB33" s="45"/>
      <c r="AC33" s="86">
        <f t="shared" si="31"/>
        <v>888888.88888888888</v>
      </c>
      <c r="AD33" s="86">
        <f t="shared" si="10"/>
        <v>480000</v>
      </c>
      <c r="AE33" s="44">
        <f t="shared" si="11"/>
        <v>0.99870277826500531</v>
      </c>
      <c r="AF33" s="87">
        <f t="shared" si="32"/>
        <v>1.996502007723419E-3</v>
      </c>
      <c r="AG33" s="87">
        <f t="shared" si="33"/>
        <v>2.0611886727736578E-3</v>
      </c>
      <c r="AH33" s="44">
        <f t="shared" si="34"/>
        <v>-34.199880164754724</v>
      </c>
      <c r="AI33" s="44">
        <f t="shared" si="35"/>
        <v>-2.9079562820927274</v>
      </c>
      <c r="AJ33" s="44">
        <f t="shared" si="36"/>
        <v>0.99996369864929424</v>
      </c>
      <c r="AK33" s="45"/>
      <c r="AL33" s="86">
        <f t="shared" si="12"/>
        <v>40</v>
      </c>
      <c r="AM33" s="86">
        <f t="shared" si="13"/>
        <v>120000</v>
      </c>
      <c r="AN33" s="20"/>
      <c r="AO33" s="87">
        <f t="shared" si="14"/>
        <v>1.1234039553400582E-2</v>
      </c>
      <c r="AP33" s="87">
        <f t="shared" si="37"/>
        <v>1.1245273592953981E-2</v>
      </c>
      <c r="AQ33" s="44">
        <f t="shared" si="38"/>
        <v>-0.28124858500488958</v>
      </c>
      <c r="AR33" s="44">
        <f t="shared" si="39"/>
        <v>0.71847016641002348</v>
      </c>
      <c r="AS33" s="44">
        <f t="shared" si="40"/>
        <v>0.82329201188633749</v>
      </c>
      <c r="AT33" s="45"/>
      <c r="AU33" s="89">
        <f t="shared" si="15"/>
        <v>1.0044576566616286</v>
      </c>
      <c r="AV33" s="86">
        <f t="shared" si="16"/>
        <v>499.10035271302968</v>
      </c>
      <c r="AW33" s="18">
        <f t="shared" si="41"/>
        <v>11.56810379874887</v>
      </c>
      <c r="AX33" s="44">
        <f t="shared" si="42"/>
        <v>0.57840518993744261</v>
      </c>
      <c r="AY33" s="44">
        <f t="shared" si="17"/>
        <v>0.9681797987373304</v>
      </c>
      <c r="AZ33" s="89">
        <f t="shared" si="18"/>
        <v>9.9361218160257749</v>
      </c>
      <c r="BA33" s="86">
        <f t="shared" si="19"/>
        <v>1974.8455776463575</v>
      </c>
      <c r="BB33" s="44">
        <f t="shared" si="43"/>
        <v>0.41261444296288974</v>
      </c>
      <c r="BC33" s="20">
        <f t="shared" si="44"/>
        <v>8.2522888592577968E-3</v>
      </c>
      <c r="BD33" s="44">
        <f t="shared" si="20"/>
        <v>0.98714377745007487</v>
      </c>
      <c r="BE33" s="45"/>
      <c r="BF33" s="85">
        <f t="shared" si="21"/>
        <v>1.071157942578127E-2</v>
      </c>
      <c r="BG33" s="85">
        <f t="shared" si="22"/>
        <v>7.4513985210737488E-2</v>
      </c>
      <c r="BH33" s="18">
        <f t="shared" si="45"/>
        <v>444.81664575538497</v>
      </c>
      <c r="BI33" s="18">
        <f t="shared" si="46"/>
        <v>0.3113716520287762</v>
      </c>
      <c r="BJ33" s="44">
        <f t="shared" si="23"/>
        <v>0.99954713352253555</v>
      </c>
      <c r="BK33" s="90"/>
      <c r="BL33" s="20"/>
      <c r="BM33" s="20"/>
      <c r="BN33" s="20"/>
      <c r="BO33" s="20"/>
      <c r="BP33" s="20"/>
      <c r="BQ33" s="20"/>
      <c r="BR33" s="20"/>
      <c r="BS33" s="20"/>
      <c r="BT33" s="20"/>
      <c r="BU33" s="20"/>
      <c r="BV33" s="44"/>
      <c r="BX33" s="44"/>
      <c r="BY33" s="44"/>
      <c r="CA33" s="20"/>
      <c r="CB33" s="20"/>
    </row>
    <row r="34" spans="1:80" x14ac:dyDescent="0.2">
      <c r="A34" s="60"/>
      <c r="B34" s="61"/>
      <c r="F34" s="44"/>
      <c r="G34" s="85"/>
      <c r="H34" s="40">
        <v>0.25</v>
      </c>
      <c r="I34" s="86">
        <f t="shared" si="24"/>
        <v>39.522540436452282</v>
      </c>
      <c r="J34" s="86">
        <f t="shared" si="25"/>
        <v>392763.4727283151</v>
      </c>
      <c r="K34" s="85"/>
      <c r="L34" s="87">
        <f t="shared" si="0"/>
        <v>2.1195794661865209E-2</v>
      </c>
      <c r="M34" s="87">
        <f t="shared" si="1"/>
        <v>2.1195794661865209E-2</v>
      </c>
      <c r="N34" s="44">
        <f t="shared" si="2"/>
        <v>-0.66067328237906509</v>
      </c>
      <c r="O34" s="44">
        <f t="shared" si="3"/>
        <v>-0.66067328237906509</v>
      </c>
      <c r="P34" s="44">
        <f t="shared" si="26"/>
        <v>0.37876077323424867</v>
      </c>
      <c r="Q34" s="45"/>
      <c r="R34" s="88">
        <f t="shared" si="27"/>
        <v>3.0549811281388728E-3</v>
      </c>
      <c r="S34" s="88">
        <f t="shared" si="4"/>
        <v>6.0719021791454386E-2</v>
      </c>
      <c r="T34" s="44">
        <f t="shared" si="28"/>
        <v>0.99801448959032579</v>
      </c>
      <c r="U34" s="75">
        <f t="shared" si="5"/>
        <v>445.51691764457388</v>
      </c>
      <c r="V34" s="44">
        <f t="shared" si="6"/>
        <v>0.89103383528914937</v>
      </c>
      <c r="W34" s="20">
        <f t="shared" si="7"/>
        <v>12.452903846860522</v>
      </c>
      <c r="X34" s="20">
        <f t="shared" si="29"/>
        <v>12.415601117391187</v>
      </c>
      <c r="Y34" s="44">
        <f t="shared" si="8"/>
        <v>23.006051019591965</v>
      </c>
      <c r="Z34" s="44">
        <f t="shared" si="30"/>
        <v>19.941631793686021</v>
      </c>
      <c r="AA34" s="44">
        <f t="shared" si="9"/>
        <v>0.99803129762115761</v>
      </c>
      <c r="AB34" s="45"/>
      <c r="AC34" s="86">
        <f t="shared" si="31"/>
        <v>888888.88888888888</v>
      </c>
      <c r="AD34" s="86">
        <f t="shared" si="10"/>
        <v>480000</v>
      </c>
      <c r="AE34" s="44">
        <f t="shared" si="11"/>
        <v>0.99800853040559256</v>
      </c>
      <c r="AF34" s="87">
        <f t="shared" si="32"/>
        <v>1.9965021404286945E-3</v>
      </c>
      <c r="AG34" s="87">
        <f t="shared" si="33"/>
        <v>2.0611888097785839E-3</v>
      </c>
      <c r="AH34" s="44">
        <f t="shared" si="34"/>
        <v>-34.199815969091276</v>
      </c>
      <c r="AI34" s="44">
        <f t="shared" si="35"/>
        <v>-2.9078900064899438</v>
      </c>
      <c r="AJ34" s="44">
        <f t="shared" si="36"/>
        <v>0.99994425203924286</v>
      </c>
      <c r="AK34" s="45"/>
      <c r="AL34" s="86">
        <f t="shared" si="12"/>
        <v>40</v>
      </c>
      <c r="AM34" s="86">
        <f t="shared" si="13"/>
        <v>120000</v>
      </c>
      <c r="AN34" s="20"/>
      <c r="AO34" s="87">
        <f t="shared" si="14"/>
        <v>1.123879743485298E-2</v>
      </c>
      <c r="AP34" s="87">
        <f t="shared" si="37"/>
        <v>1.1250036232287833E-2</v>
      </c>
      <c r="AQ34" s="44">
        <f t="shared" si="38"/>
        <v>0.14215595103594936</v>
      </c>
      <c r="AR34" s="44">
        <f t="shared" si="39"/>
        <v>1.1422981069868499</v>
      </c>
      <c r="AS34" s="44">
        <f t="shared" si="40"/>
        <v>0.74179446978032715</v>
      </c>
      <c r="AT34" s="45"/>
      <c r="AU34" s="89">
        <f t="shared" si="15"/>
        <v>1.2785181234060961</v>
      </c>
      <c r="AV34" s="86">
        <f t="shared" si="16"/>
        <v>635.27699959276924</v>
      </c>
      <c r="AW34" s="18">
        <f t="shared" si="41"/>
        <v>14.767901217309344</v>
      </c>
      <c r="AX34" s="44">
        <f t="shared" si="42"/>
        <v>0.73839506086546614</v>
      </c>
      <c r="AY34" s="44">
        <f t="shared" si="17"/>
        <v>0.95155184202970899</v>
      </c>
      <c r="AZ34" s="89">
        <f t="shared" si="18"/>
        <v>9.9022398511651737</v>
      </c>
      <c r="BA34" s="86">
        <f t="shared" si="19"/>
        <v>1968.1113960707039</v>
      </c>
      <c r="BB34" s="44">
        <f t="shared" si="43"/>
        <v>0.41242245852863524</v>
      </c>
      <c r="BC34" s="20">
        <f t="shared" si="44"/>
        <v>8.248449170572705E-3</v>
      </c>
      <c r="BD34" s="44">
        <f t="shared" si="20"/>
        <v>0.98032464056208157</v>
      </c>
      <c r="BE34" s="45"/>
      <c r="BF34" s="85">
        <f t="shared" si="21"/>
        <v>1.109265012191285E-2</v>
      </c>
      <c r="BG34" s="85">
        <f t="shared" si="22"/>
        <v>7.7164863768146574E-2</v>
      </c>
      <c r="BH34" s="18">
        <f t="shared" si="45"/>
        <v>462.00234529149986</v>
      </c>
      <c r="BI34" s="18">
        <f t="shared" si="46"/>
        <v>0.32340164170405455</v>
      </c>
      <c r="BJ34" s="44">
        <f t="shared" si="23"/>
        <v>0.99930461085033695</v>
      </c>
      <c r="BK34" s="90"/>
      <c r="BL34" s="20"/>
      <c r="BM34" s="20"/>
      <c r="BN34" s="20"/>
      <c r="BO34" s="20"/>
      <c r="BP34" s="20"/>
      <c r="BQ34" s="20"/>
      <c r="BR34" s="20"/>
      <c r="BS34" s="20"/>
      <c r="BT34" s="20"/>
      <c r="BU34" s="20"/>
      <c r="BV34" s="44"/>
      <c r="BX34" s="44"/>
      <c r="BY34" s="44"/>
      <c r="CA34" s="20"/>
      <c r="CB34" s="20"/>
    </row>
    <row r="35" spans="1:80" x14ac:dyDescent="0.2">
      <c r="A35" s="60"/>
      <c r="B35" s="61"/>
      <c r="F35" s="44"/>
      <c r="G35" s="85"/>
      <c r="H35" s="40">
        <v>0.3</v>
      </c>
      <c r="I35" s="86">
        <f t="shared" si="24"/>
        <v>39.471582299105513</v>
      </c>
      <c r="J35" s="86">
        <f t="shared" si="25"/>
        <v>392257.0656308193</v>
      </c>
      <c r="K35" s="85"/>
      <c r="L35" s="87">
        <f t="shared" si="0"/>
        <v>2.1192260392227703E-2</v>
      </c>
      <c r="M35" s="87">
        <f t="shared" si="1"/>
        <v>2.1192260392227703E-2</v>
      </c>
      <c r="N35" s="44">
        <f t="shared" si="2"/>
        <v>-0.82730702724820304</v>
      </c>
      <c r="O35" s="44">
        <f t="shared" si="3"/>
        <v>-0.82730702724820304</v>
      </c>
      <c r="P35" s="44">
        <f t="shared" si="26"/>
        <v>0.31156974707733809</v>
      </c>
      <c r="Q35" s="45"/>
      <c r="R35" s="88">
        <f t="shared" si="27"/>
        <v>3.0659642469521922E-3</v>
      </c>
      <c r="S35" s="88">
        <f t="shared" si="4"/>
        <v>6.0937315850432827E-2</v>
      </c>
      <c r="T35" s="44">
        <f t="shared" si="28"/>
        <v>0.99761786082928161</v>
      </c>
      <c r="U35" s="75">
        <f t="shared" si="5"/>
        <v>447.69585210154219</v>
      </c>
      <c r="V35" s="44">
        <f t="shared" si="6"/>
        <v>0.89539170420308534</v>
      </c>
      <c r="W35" s="20">
        <f t="shared" si="7"/>
        <v>12.452918404277069</v>
      </c>
      <c r="X35" s="20">
        <f t="shared" si="29"/>
        <v>12.415615631200929</v>
      </c>
      <c r="Y35" s="44">
        <f t="shared" si="8"/>
        <v>23.007246911361136</v>
      </c>
      <c r="Z35" s="44">
        <f t="shared" si="30"/>
        <v>19.942824103156287</v>
      </c>
      <c r="AA35" s="44">
        <f t="shared" si="9"/>
        <v>0.99764221361049943</v>
      </c>
      <c r="AB35" s="45"/>
      <c r="AC35" s="86">
        <f t="shared" si="31"/>
        <v>888888.88888888888</v>
      </c>
      <c r="AD35" s="86">
        <f t="shared" si="10"/>
        <v>480000</v>
      </c>
      <c r="AE35" s="44">
        <f t="shared" si="11"/>
        <v>0.99761071265381362</v>
      </c>
      <c r="AF35" s="87">
        <f t="shared" si="32"/>
        <v>1.9965022165118881E-3</v>
      </c>
      <c r="AG35" s="87">
        <f t="shared" si="33"/>
        <v>2.0611888883268733E-3</v>
      </c>
      <c r="AH35" s="44">
        <f t="shared" si="34"/>
        <v>-34.199779164140743</v>
      </c>
      <c r="AI35" s="44">
        <f t="shared" si="35"/>
        <v>-2.9078520090589643</v>
      </c>
      <c r="AJ35" s="44">
        <f t="shared" si="36"/>
        <v>0.99993310282004044</v>
      </c>
      <c r="AK35" s="45"/>
      <c r="AL35" s="86">
        <f t="shared" si="12"/>
        <v>40</v>
      </c>
      <c r="AM35" s="86">
        <f t="shared" si="13"/>
        <v>120000</v>
      </c>
      <c r="AN35" s="20"/>
      <c r="AO35" s="87">
        <f t="shared" si="14"/>
        <v>1.1241309761998511E-2</v>
      </c>
      <c r="AP35" s="87">
        <f t="shared" si="37"/>
        <v>1.1252551071760509E-2</v>
      </c>
      <c r="AQ35" s="44">
        <f t="shared" si="38"/>
        <v>0.36572829517234062</v>
      </c>
      <c r="AR35" s="44">
        <f t="shared" si="39"/>
        <v>1.3660940234674346</v>
      </c>
      <c r="AS35" s="44">
        <f t="shared" si="40"/>
        <v>0.69876092861806505</v>
      </c>
      <c r="AT35" s="45"/>
      <c r="AU35" s="89">
        <f t="shared" si="15"/>
        <v>1.4335180183805463</v>
      </c>
      <c r="AV35" s="86">
        <f t="shared" si="16"/>
        <v>712.29418567241282</v>
      </c>
      <c r="AW35" s="18">
        <f t="shared" si="41"/>
        <v>16.57965015314922</v>
      </c>
      <c r="AX35" s="44">
        <f t="shared" si="42"/>
        <v>0.82898250765746084</v>
      </c>
      <c r="AY35" s="44">
        <f t="shared" si="17"/>
        <v>0.94214759787170665</v>
      </c>
      <c r="AZ35" s="89">
        <f t="shared" si="18"/>
        <v>9.8829198592046534</v>
      </c>
      <c r="BA35" s="86">
        <f t="shared" si="19"/>
        <v>1964.2714672342984</v>
      </c>
      <c r="BB35" s="44">
        <f t="shared" si="43"/>
        <v>0.41214919419548124</v>
      </c>
      <c r="BC35" s="20">
        <f t="shared" si="44"/>
        <v>8.2429838839096266E-3</v>
      </c>
      <c r="BD35" s="44">
        <f t="shared" si="20"/>
        <v>0.97643626896392477</v>
      </c>
      <c r="BE35" s="45"/>
      <c r="BF35" s="85">
        <f t="shared" si="21"/>
        <v>1.13110889513377E-2</v>
      </c>
      <c r="BG35" s="85">
        <f t="shared" si="22"/>
        <v>7.8684410704990881E-2</v>
      </c>
      <c r="BH35" s="18">
        <f t="shared" si="45"/>
        <v>471.70838812634224</v>
      </c>
      <c r="BI35" s="18">
        <f t="shared" si="46"/>
        <v>0.33019587168844289</v>
      </c>
      <c r="BJ35" s="44">
        <f t="shared" si="23"/>
        <v>0.99916559105909664</v>
      </c>
      <c r="BK35" s="90"/>
      <c r="BL35" s="20"/>
      <c r="BM35" s="20"/>
      <c r="BN35" s="20"/>
      <c r="BO35" s="20"/>
      <c r="BP35" s="20"/>
      <c r="BQ35" s="20"/>
      <c r="BR35" s="20"/>
      <c r="BS35" s="20"/>
      <c r="BT35" s="20"/>
      <c r="BU35" s="20"/>
      <c r="BV35" s="44"/>
      <c r="BX35" s="44"/>
      <c r="BY35" s="44"/>
      <c r="CA35" s="20"/>
      <c r="CB35" s="20"/>
    </row>
    <row r="36" spans="1:80" x14ac:dyDescent="0.2">
      <c r="A36" s="60"/>
      <c r="B36" s="61"/>
      <c r="E36" s="75"/>
      <c r="F36" s="44"/>
      <c r="G36" s="85"/>
      <c r="H36" s="40">
        <v>0.5</v>
      </c>
      <c r="I36" s="86">
        <f t="shared" si="24"/>
        <v>39.343856112915816</v>
      </c>
      <c r="J36" s="86">
        <f t="shared" si="25"/>
        <v>390987.7600676592</v>
      </c>
      <c r="K36" s="85"/>
      <c r="L36" s="87">
        <f t="shared" si="0"/>
        <v>2.1183361539719087E-2</v>
      </c>
      <c r="M36" s="87">
        <f t="shared" si="1"/>
        <v>2.1183361539719087E-2</v>
      </c>
      <c r="N36" s="44">
        <f t="shared" si="2"/>
        <v>-1.2468701253244285</v>
      </c>
      <c r="O36" s="44">
        <f t="shared" si="3"/>
        <v>-1.2468701253244285</v>
      </c>
      <c r="P36" s="44">
        <f t="shared" si="26"/>
        <v>0.14239107849821458</v>
      </c>
      <c r="Q36" s="45"/>
      <c r="R36" s="88">
        <f t="shared" si="27"/>
        <v>3.1098530906754906E-3</v>
      </c>
      <c r="S36" s="88">
        <f t="shared" si="4"/>
        <v>6.1809624891523418E-2</v>
      </c>
      <c r="T36" s="44">
        <f t="shared" si="28"/>
        <v>0.99603292143223854</v>
      </c>
      <c r="U36" s="75">
        <f t="shared" si="5"/>
        <v>455.57876317575301</v>
      </c>
      <c r="V36" s="44">
        <f t="shared" si="6"/>
        <v>0.91115752635150704</v>
      </c>
      <c r="W36" s="20">
        <f t="shared" si="7"/>
        <v>12.452976074449266</v>
      </c>
      <c r="X36" s="20">
        <f t="shared" si="29"/>
        <v>12.415673128621865</v>
      </c>
      <c r="Y36" s="44">
        <f t="shared" si="8"/>
        <v>23.011984516007278</v>
      </c>
      <c r="Z36" s="44">
        <f t="shared" si="30"/>
        <v>19.947547516286246</v>
      </c>
      <c r="AA36" s="44">
        <f t="shared" si="9"/>
        <v>0.99610083146902628</v>
      </c>
      <c r="AB36" s="45"/>
      <c r="AC36" s="86">
        <f t="shared" si="31"/>
        <v>888888.88888888888</v>
      </c>
      <c r="AD36" s="86">
        <f t="shared" si="10"/>
        <v>480000</v>
      </c>
      <c r="AE36" s="44">
        <f t="shared" si="11"/>
        <v>0.99602102676233062</v>
      </c>
      <c r="AF36" s="87">
        <f t="shared" si="32"/>
        <v>1.9965025208361804E-3</v>
      </c>
      <c r="AG36" s="87">
        <f t="shared" si="33"/>
        <v>2.0611892025112727E-3</v>
      </c>
      <c r="AH36" s="44">
        <f t="shared" si="34"/>
        <v>-34.199631948442111</v>
      </c>
      <c r="AI36" s="44">
        <f t="shared" si="35"/>
        <v>-2.9077000235716577</v>
      </c>
      <c r="AJ36" s="44">
        <f t="shared" si="36"/>
        <v>0.99988850718633859</v>
      </c>
      <c r="AK36" s="45"/>
      <c r="AL36" s="86">
        <f t="shared" si="12"/>
        <v>40</v>
      </c>
      <c r="AM36" s="86">
        <f t="shared" si="13"/>
        <v>120000</v>
      </c>
      <c r="AN36" s="20"/>
      <c r="AO36" s="87">
        <f t="shared" si="14"/>
        <v>1.1249983728152778E-2</v>
      </c>
      <c r="AP36" s="87">
        <f t="shared" si="37"/>
        <v>1.126123371188093E-2</v>
      </c>
      <c r="AQ36" s="44">
        <f t="shared" si="38"/>
        <v>1.1376257566633186</v>
      </c>
      <c r="AR36" s="44">
        <f t="shared" si="39"/>
        <v>2.1387633824201391</v>
      </c>
      <c r="AS36" s="44">
        <f t="shared" si="40"/>
        <v>0.55018494391642059</v>
      </c>
      <c r="AT36" s="45"/>
      <c r="AU36" s="89">
        <f t="shared" si="15"/>
        <v>2.0383495146272708</v>
      </c>
      <c r="AV36" s="86">
        <f t="shared" si="16"/>
        <v>1012.8261305549649</v>
      </c>
      <c r="AW36" s="18">
        <f t="shared" si="41"/>
        <v>23.651488255988784</v>
      </c>
      <c r="AX36" s="44">
        <f t="shared" si="42"/>
        <v>1.1825744127994391</v>
      </c>
      <c r="AY36" s="44">
        <f t="shared" si="17"/>
        <v>0.90545090807013229</v>
      </c>
      <c r="AZ36" s="89">
        <f t="shared" si="18"/>
        <v>9.8064031683973738</v>
      </c>
      <c r="BA36" s="86">
        <f t="shared" si="19"/>
        <v>1949.0634563770677</v>
      </c>
      <c r="BB36" s="44">
        <f t="shared" si="43"/>
        <v>0.41028584974902782</v>
      </c>
      <c r="BC36" s="20">
        <f t="shared" si="44"/>
        <v>8.2057169949805581E-3</v>
      </c>
      <c r="BD36" s="44">
        <f t="shared" si="20"/>
        <v>0.96103640089317433</v>
      </c>
      <c r="BE36" s="45"/>
      <c r="BF36" s="85">
        <f t="shared" si="21"/>
        <v>1.218454042678685E-2</v>
      </c>
      <c r="BG36" s="85">
        <f t="shared" si="22"/>
        <v>8.4760484805441294E-2</v>
      </c>
      <c r="BH36" s="18">
        <f t="shared" si="45"/>
        <v>509.78370325586127</v>
      </c>
      <c r="BI36" s="18">
        <f t="shared" si="46"/>
        <v>0.35684859227910382</v>
      </c>
      <c r="BJ36" s="44">
        <f t="shared" si="23"/>
        <v>0.99860970526674331</v>
      </c>
      <c r="BK36" s="90"/>
      <c r="BL36" s="20"/>
      <c r="BM36" s="20"/>
      <c r="BN36" s="20"/>
      <c r="BO36" s="20"/>
      <c r="BP36" s="20"/>
      <c r="BQ36" s="20"/>
      <c r="BR36" s="20"/>
      <c r="BS36" s="20"/>
      <c r="BT36" s="20"/>
      <c r="BU36" s="20"/>
      <c r="BV36" s="44"/>
      <c r="BX36" s="44"/>
      <c r="BY36" s="44"/>
      <c r="CA36" s="20"/>
      <c r="CB36" s="20"/>
    </row>
    <row r="37" spans="1:80" x14ac:dyDescent="0.2">
      <c r="A37" s="60"/>
      <c r="B37" s="61"/>
      <c r="E37" s="75"/>
      <c r="F37" s="44"/>
      <c r="G37" s="85"/>
      <c r="H37" s="40">
        <v>0.7</v>
      </c>
      <c r="I37" s="86">
        <f t="shared" si="24"/>
        <v>39.285672614699685</v>
      </c>
      <c r="J37" s="86">
        <f t="shared" si="25"/>
        <v>390409.54944246943</v>
      </c>
      <c r="K37" s="85"/>
      <c r="L37" s="87">
        <f t="shared" si="0"/>
        <v>2.1179288635130984E-2</v>
      </c>
      <c r="M37" s="87">
        <f t="shared" si="1"/>
        <v>2.1179288635130984E-2</v>
      </c>
      <c r="N37" s="44">
        <f t="shared" si="2"/>
        <v>-1.4388994308442982</v>
      </c>
      <c r="O37" s="44">
        <f t="shared" si="3"/>
        <v>-1.4388994308442982</v>
      </c>
      <c r="P37" s="44">
        <f t="shared" si="26"/>
        <v>6.4959906917621865E-2</v>
      </c>
      <c r="Q37" s="45"/>
      <c r="R37" s="88">
        <f t="shared" si="27"/>
        <v>3.1536722071412553E-3</v>
      </c>
      <c r="S37" s="88">
        <f t="shared" si="4"/>
        <v>6.2680548074341202E-2</v>
      </c>
      <c r="T37" s="44">
        <f t="shared" si="28"/>
        <v>0.99445050006638847</v>
      </c>
      <c r="U37" s="75">
        <f t="shared" si="5"/>
        <v>462.68229218933902</v>
      </c>
      <c r="V37" s="44">
        <f t="shared" si="6"/>
        <v>0.92536458437867886</v>
      </c>
      <c r="W37" s="20">
        <f t="shared" si="7"/>
        <v>12.453032878445313</v>
      </c>
      <c r="X37" s="20">
        <f t="shared" si="29"/>
        <v>12.415729762461286</v>
      </c>
      <c r="Y37" s="44">
        <f t="shared" si="8"/>
        <v>23.016650964282405</v>
      </c>
      <c r="Z37" s="44">
        <f t="shared" si="30"/>
        <v>19.952199986194685</v>
      </c>
      <c r="AA37" s="44">
        <f t="shared" si="9"/>
        <v>0.99458260008986954</v>
      </c>
      <c r="AB37" s="45"/>
      <c r="AC37" s="86">
        <f t="shared" si="31"/>
        <v>888888.88888888888</v>
      </c>
      <c r="AD37" s="86">
        <f t="shared" si="10"/>
        <v>480000</v>
      </c>
      <c r="AE37" s="44">
        <f t="shared" si="11"/>
        <v>0.99443387402451322</v>
      </c>
      <c r="AF37" s="87">
        <f t="shared" si="32"/>
        <v>1.9965028251469007E-3</v>
      </c>
      <c r="AG37" s="87">
        <f t="shared" si="33"/>
        <v>2.0611895166816603E-3</v>
      </c>
      <c r="AH37" s="44">
        <f t="shared" si="34"/>
        <v>-34.199484739308787</v>
      </c>
      <c r="AI37" s="44">
        <f t="shared" si="35"/>
        <v>-2.9075480448624846</v>
      </c>
      <c r="AJ37" s="44">
        <f t="shared" si="36"/>
        <v>0.99984391354147906</v>
      </c>
      <c r="AK37" s="45"/>
      <c r="AL37" s="86">
        <f t="shared" si="12"/>
        <v>40</v>
      </c>
      <c r="AM37" s="86">
        <f t="shared" si="13"/>
        <v>120000</v>
      </c>
      <c r="AN37" s="20"/>
      <c r="AO37" s="87">
        <f t="shared" si="14"/>
        <v>1.1256813368143607E-2</v>
      </c>
      <c r="AP37" s="87">
        <f t="shared" si="37"/>
        <v>1.126807018151175E-2</v>
      </c>
      <c r="AQ37" s="44">
        <f t="shared" si="38"/>
        <v>1.7453963748628176</v>
      </c>
      <c r="AR37" s="44">
        <f t="shared" si="39"/>
        <v>2.7471417712374713</v>
      </c>
      <c r="AS37" s="44">
        <f t="shared" si="40"/>
        <v>0.43320034093921378</v>
      </c>
      <c r="AT37" s="45"/>
      <c r="AU37" s="89">
        <f t="shared" si="15"/>
        <v>2.6196227978613766</v>
      </c>
      <c r="AV37" s="86">
        <f t="shared" si="16"/>
        <v>1301.6523431491451</v>
      </c>
      <c r="AW37" s="18">
        <f t="shared" si="41"/>
        <v>30.44116791233958</v>
      </c>
      <c r="AX37" s="44">
        <f t="shared" si="42"/>
        <v>1.5220583956169789</v>
      </c>
      <c r="AY37" s="44">
        <f t="shared" si="17"/>
        <v>0.87018355592800212</v>
      </c>
      <c r="AZ37" s="89">
        <f t="shared" si="18"/>
        <v>9.7310932608498923</v>
      </c>
      <c r="BA37" s="86">
        <f t="shared" si="19"/>
        <v>1934.0952987168798</v>
      </c>
      <c r="BB37" s="44">
        <f t="shared" si="43"/>
        <v>0.40773797279198032</v>
      </c>
      <c r="BC37" s="20">
        <f t="shared" si="44"/>
        <v>8.1547594558396049E-3</v>
      </c>
      <c r="BD37" s="44">
        <f t="shared" si="20"/>
        <v>0.94587941189618852</v>
      </c>
      <c r="BE37" s="45"/>
      <c r="BF37" s="85">
        <f t="shared" si="21"/>
        <v>1.3057505957493554E-2</v>
      </c>
      <c r="BG37" s="85">
        <f t="shared" si="22"/>
        <v>9.0833178481968702E-2</v>
      </c>
      <c r="BH37" s="18">
        <f t="shared" si="45"/>
        <v>547.11643040636488</v>
      </c>
      <c r="BI37" s="18">
        <f t="shared" si="46"/>
        <v>0.38298150128445685</v>
      </c>
      <c r="BJ37" s="44">
        <f t="shared" si="23"/>
        <v>0.99805412874145949</v>
      </c>
      <c r="BK37" s="90"/>
      <c r="BL37" s="20"/>
      <c r="BM37" s="20"/>
      <c r="BN37" s="20"/>
      <c r="BO37" s="20"/>
      <c r="BP37" s="20"/>
      <c r="BQ37" s="20"/>
      <c r="BR37" s="20"/>
      <c r="BS37" s="20"/>
      <c r="BT37" s="20"/>
      <c r="BU37" s="20"/>
      <c r="BV37" s="44"/>
      <c r="BX37" s="44"/>
      <c r="BY37" s="44"/>
      <c r="CA37" s="20"/>
      <c r="CB37" s="20"/>
    </row>
    <row r="38" spans="1:80" x14ac:dyDescent="0.2">
      <c r="A38" s="60"/>
      <c r="B38" s="61"/>
      <c r="E38" s="75"/>
      <c r="F38" s="44"/>
      <c r="G38" s="85"/>
      <c r="H38" s="40">
        <v>0.8</v>
      </c>
      <c r="I38" s="86">
        <f t="shared" si="24"/>
        <v>39.269848385494321</v>
      </c>
      <c r="J38" s="86">
        <f t="shared" si="25"/>
        <v>390252.29287071788</v>
      </c>
      <c r="K38" s="85"/>
      <c r="L38" s="87">
        <f t="shared" si="0"/>
        <v>2.1178178835258285E-2</v>
      </c>
      <c r="M38" s="87">
        <f t="shared" si="1"/>
        <v>2.1178178835258285E-2</v>
      </c>
      <c r="N38" s="44">
        <f t="shared" si="2"/>
        <v>-1.4912242752422866</v>
      </c>
      <c r="O38" s="44">
        <f t="shared" si="3"/>
        <v>-1.4912242752422866</v>
      </c>
      <c r="P38" s="44">
        <f t="shared" si="26"/>
        <v>4.3861179337787763E-2</v>
      </c>
      <c r="Q38" s="45"/>
      <c r="R38" s="88">
        <f t="shared" si="27"/>
        <v>3.1755556522773641E-3</v>
      </c>
      <c r="S38" s="88">
        <f t="shared" si="4"/>
        <v>6.3115490657080109E-2</v>
      </c>
      <c r="T38" s="44">
        <f t="shared" si="28"/>
        <v>0.99366023239476986</v>
      </c>
      <c r="U38" s="75">
        <f t="shared" si="5"/>
        <v>466.08059808829654</v>
      </c>
      <c r="V38" s="44">
        <f t="shared" si="6"/>
        <v>0.93216119617659321</v>
      </c>
      <c r="W38" s="20">
        <f t="shared" si="7"/>
        <v>12.453060967232586</v>
      </c>
      <c r="X38" s="20">
        <f t="shared" si="29"/>
        <v>12.41575776710847</v>
      </c>
      <c r="Y38" s="44">
        <f t="shared" si="8"/>
        <v>23.018958458157044</v>
      </c>
      <c r="Z38" s="44">
        <f t="shared" si="30"/>
        <v>19.954500567960885</v>
      </c>
      <c r="AA38" s="44">
        <f t="shared" si="9"/>
        <v>0.99383185575481625</v>
      </c>
      <c r="AB38" s="45"/>
      <c r="AC38" s="86">
        <f t="shared" si="31"/>
        <v>888888.88888888888</v>
      </c>
      <c r="AD38" s="86">
        <f t="shared" si="10"/>
        <v>480000</v>
      </c>
      <c r="AE38" s="44">
        <f t="shared" si="11"/>
        <v>0.99364124632655171</v>
      </c>
      <c r="AF38" s="87">
        <f t="shared" si="32"/>
        <v>1.996502977297171E-3</v>
      </c>
      <c r="AG38" s="87">
        <f t="shared" si="33"/>
        <v>2.0611896737615992E-3</v>
      </c>
      <c r="AH38" s="44">
        <f t="shared" si="34"/>
        <v>-34.199411137204372</v>
      </c>
      <c r="AI38" s="44">
        <f t="shared" si="35"/>
        <v>-2.9074720580498647</v>
      </c>
      <c r="AJ38" s="44">
        <f t="shared" si="36"/>
        <v>0.99982161746491394</v>
      </c>
      <c r="AK38" s="45"/>
      <c r="AL38" s="86">
        <f t="shared" si="12"/>
        <v>40</v>
      </c>
      <c r="AM38" s="86">
        <f t="shared" si="13"/>
        <v>120000</v>
      </c>
      <c r="AN38" s="20"/>
      <c r="AO38" s="87">
        <f t="shared" si="14"/>
        <v>1.1259662599809811E-2</v>
      </c>
      <c r="AP38" s="87">
        <f t="shared" si="37"/>
        <v>1.1270922262409621E-2</v>
      </c>
      <c r="AQ38" s="44">
        <f t="shared" si="38"/>
        <v>1.9989498994243959</v>
      </c>
      <c r="AR38" s="44">
        <f t="shared" si="39"/>
        <v>3.0009488493238923</v>
      </c>
      <c r="AS38" s="44">
        <f t="shared" si="40"/>
        <v>0.3843959770622124</v>
      </c>
      <c r="AT38" s="45"/>
      <c r="AU38" s="89">
        <f t="shared" si="15"/>
        <v>2.9017132702311716</v>
      </c>
      <c r="AV38" s="86">
        <f t="shared" si="16"/>
        <v>1441.8189826515791</v>
      </c>
      <c r="AW38" s="18">
        <f t="shared" si="41"/>
        <v>33.732770671171593</v>
      </c>
      <c r="AX38" s="44">
        <f t="shared" si="42"/>
        <v>1.6866385335585794</v>
      </c>
      <c r="AY38" s="44">
        <f t="shared" si="17"/>
        <v>0.85306839802903056</v>
      </c>
      <c r="AZ38" s="89">
        <f t="shared" si="18"/>
        <v>9.6938848912713489</v>
      </c>
      <c r="BA38" s="86">
        <f t="shared" si="19"/>
        <v>1926.6999803548306</v>
      </c>
      <c r="BB38" s="44">
        <f t="shared" si="43"/>
        <v>0.40634259674392026</v>
      </c>
      <c r="BC38" s="20">
        <f t="shared" si="44"/>
        <v>8.1268519348784065E-3</v>
      </c>
      <c r="BD38" s="44">
        <f t="shared" si="20"/>
        <v>0.93839079762664979</v>
      </c>
      <c r="BE38" s="45"/>
      <c r="BF38" s="85">
        <f t="shared" si="21"/>
        <v>1.3493806578060541E-2</v>
      </c>
      <c r="BG38" s="85">
        <f t="shared" si="22"/>
        <v>9.3868258249020897E-2</v>
      </c>
      <c r="BH38" s="18">
        <f t="shared" si="45"/>
        <v>565.62549136790972</v>
      </c>
      <c r="BI38" s="18">
        <f t="shared" si="46"/>
        <v>0.39593784395753756</v>
      </c>
      <c r="BJ38" s="44">
        <f t="shared" si="23"/>
        <v>0.99777645640019585</v>
      </c>
      <c r="BK38" s="90"/>
      <c r="BL38" s="20"/>
      <c r="BM38" s="20"/>
      <c r="BN38" s="20"/>
      <c r="BO38" s="20"/>
      <c r="BP38" s="20"/>
      <c r="BQ38" s="20"/>
      <c r="BR38" s="20"/>
      <c r="BS38" s="20"/>
      <c r="BT38" s="20"/>
      <c r="BU38" s="20"/>
      <c r="BV38" s="44"/>
      <c r="BX38" s="44"/>
      <c r="BY38" s="44"/>
      <c r="CA38" s="20"/>
      <c r="CB38" s="20"/>
    </row>
    <row r="39" spans="1:80" x14ac:dyDescent="0.2">
      <c r="A39" s="60"/>
      <c r="B39" s="61"/>
      <c r="E39" s="18"/>
      <c r="F39" s="44"/>
      <c r="G39" s="85"/>
      <c r="H39" s="33">
        <v>1</v>
      </c>
      <c r="I39" s="86">
        <f t="shared" si="24"/>
        <v>39.251959649450633</v>
      </c>
      <c r="J39" s="86">
        <f t="shared" si="25"/>
        <v>390074.51983250602</v>
      </c>
      <c r="K39" s="85"/>
      <c r="L39" s="87">
        <f t="shared" si="0"/>
        <v>2.1176923167881258E-2</v>
      </c>
      <c r="M39" s="87">
        <f t="shared" si="1"/>
        <v>2.1176923167881258E-2</v>
      </c>
      <c r="N39" s="44">
        <f t="shared" si="2"/>
        <v>-1.5504264807343349</v>
      </c>
      <c r="O39" s="44">
        <f t="shared" si="3"/>
        <v>-1.5504264807343349</v>
      </c>
      <c r="P39" s="44">
        <f t="shared" si="26"/>
        <v>1.9989322284542463E-2</v>
      </c>
      <c r="Q39" s="45"/>
      <c r="R39" s="88">
        <f t="shared" si="27"/>
        <v>3.2192703855093673E-3</v>
      </c>
      <c r="S39" s="88">
        <f t="shared" si="4"/>
        <v>6.3984339179669392E-2</v>
      </c>
      <c r="T39" s="44">
        <f t="shared" si="28"/>
        <v>0.99208158057683993</v>
      </c>
      <c r="U39" s="75">
        <f t="shared" si="5"/>
        <v>472.71200481881118</v>
      </c>
      <c r="V39" s="44">
        <f t="shared" si="6"/>
        <v>0.94542400963762241</v>
      </c>
      <c r="W39" s="20">
        <f t="shared" si="7"/>
        <v>12.453116540430752</v>
      </c>
      <c r="X39" s="20">
        <f t="shared" si="29"/>
        <v>12.415813173836872</v>
      </c>
      <c r="Y39" s="44">
        <f t="shared" si="8"/>
        <v>23.023523796386279</v>
      </c>
      <c r="Z39" s="44">
        <f t="shared" si="30"/>
        <v>19.959052230698937</v>
      </c>
      <c r="AA39" s="44">
        <f t="shared" si="9"/>
        <v>0.99234652058177653</v>
      </c>
      <c r="AB39" s="45"/>
      <c r="AC39" s="86">
        <f t="shared" si="31"/>
        <v>888888.88888888888</v>
      </c>
      <c r="AD39" s="86">
        <f t="shared" si="10"/>
        <v>480000</v>
      </c>
      <c r="AE39" s="44">
        <f t="shared" si="11"/>
        <v>0.99205788575268727</v>
      </c>
      <c r="AF39" s="87">
        <f t="shared" si="32"/>
        <v>1.9965032815875334E-3</v>
      </c>
      <c r="AG39" s="87">
        <f t="shared" si="33"/>
        <v>2.0611899879109698E-3</v>
      </c>
      <c r="AH39" s="44">
        <f t="shared" si="34"/>
        <v>-34.19926393791917</v>
      </c>
      <c r="AI39" s="44">
        <f t="shared" si="35"/>
        <v>-2.9073200895076701</v>
      </c>
      <c r="AJ39" s="44">
        <f t="shared" si="36"/>
        <v>0.99977702680325264</v>
      </c>
      <c r="AK39" s="45"/>
      <c r="AL39" s="86">
        <f t="shared" si="12"/>
        <v>40</v>
      </c>
      <c r="AM39" s="86">
        <f t="shared" si="13"/>
        <v>120000</v>
      </c>
      <c r="AN39" s="20"/>
      <c r="AO39" s="87">
        <f t="shared" si="14"/>
        <v>1.1264434242811473E-2</v>
      </c>
      <c r="AP39" s="87">
        <f t="shared" si="37"/>
        <v>1.1275698677054283E-2</v>
      </c>
      <c r="AQ39" s="44">
        <f t="shared" si="38"/>
        <v>2.4235790776592214</v>
      </c>
      <c r="AR39" s="44">
        <f t="shared" si="39"/>
        <v>3.4260026567369817</v>
      </c>
      <c r="AS39" s="44">
        <f t="shared" si="40"/>
        <v>0.3026627139842229</v>
      </c>
      <c r="AT39" s="45"/>
      <c r="AU39" s="89">
        <f t="shared" si="15"/>
        <v>3.4493584977371832</v>
      </c>
      <c r="AV39" s="86">
        <f t="shared" si="16"/>
        <v>1713.9359050495686</v>
      </c>
      <c r="AW39" s="18">
        <f t="shared" si="41"/>
        <v>40.117488098392258</v>
      </c>
      <c r="AX39" s="44">
        <f t="shared" si="42"/>
        <v>2.0058744049196129</v>
      </c>
      <c r="AY39" s="44">
        <f t="shared" si="17"/>
        <v>0.81984134692502708</v>
      </c>
      <c r="AZ39" s="89">
        <f t="shared" si="18"/>
        <v>9.620349566129665</v>
      </c>
      <c r="BA39" s="86">
        <f t="shared" si="19"/>
        <v>1912.0845283358531</v>
      </c>
      <c r="BB39" s="44">
        <f t="shared" si="43"/>
        <v>0.40344396828658941</v>
      </c>
      <c r="BC39" s="20">
        <f t="shared" si="44"/>
        <v>8.0688793657317896E-3</v>
      </c>
      <c r="BD39" s="44">
        <f t="shared" si="20"/>
        <v>0.9235909638417058</v>
      </c>
      <c r="BE39" s="45"/>
      <c r="BF39" s="85">
        <f t="shared" si="21"/>
        <v>1.4366043698523567E-2</v>
      </c>
      <c r="BG39" s="85">
        <f t="shared" si="22"/>
        <v>9.9935884815650411E-2</v>
      </c>
      <c r="BH39" s="18">
        <f t="shared" si="45"/>
        <v>602.46185842523687</v>
      </c>
      <c r="BI39" s="18">
        <f t="shared" si="46"/>
        <v>0.42172330089766485</v>
      </c>
      <c r="BJ39" s="44">
        <f t="shared" si="23"/>
        <v>0.99722134345293201</v>
      </c>
      <c r="BK39" s="90"/>
      <c r="BL39" s="20"/>
      <c r="BM39" s="20"/>
      <c r="BN39" s="20"/>
      <c r="BO39" s="20"/>
      <c r="BP39" s="20"/>
      <c r="BQ39" s="20"/>
      <c r="BR39" s="20"/>
      <c r="BS39" s="20"/>
      <c r="BT39" s="20"/>
      <c r="BU39" s="20"/>
      <c r="BV39" s="44"/>
      <c r="BX39" s="44"/>
      <c r="BY39" s="44"/>
      <c r="CA39" s="20"/>
      <c r="CB39" s="20"/>
    </row>
    <row r="40" spans="1:80" x14ac:dyDescent="0.2">
      <c r="A40" s="60"/>
      <c r="B40" s="61"/>
      <c r="C40" s="18"/>
      <c r="D40" s="18"/>
      <c r="E40" s="18"/>
      <c r="F40" s="44"/>
      <c r="G40" s="85"/>
      <c r="H40" s="33">
        <v>2</v>
      </c>
      <c r="I40" s="86">
        <f t="shared" si="24"/>
        <v>39.237286462612964</v>
      </c>
      <c r="J40" s="86">
        <f t="shared" si="25"/>
        <v>389928.70198388823</v>
      </c>
      <c r="K40" s="85"/>
      <c r="L40" s="87">
        <f t="shared" si="0"/>
        <v>2.1175892355414831E-2</v>
      </c>
      <c r="M40" s="87">
        <f t="shared" si="1"/>
        <v>2.1175892355414831E-2</v>
      </c>
      <c r="N40" s="44">
        <f t="shared" si="2"/>
        <v>-1.5990272269014172</v>
      </c>
      <c r="O40" s="44">
        <f t="shared" si="3"/>
        <v>-1.5990272269014172</v>
      </c>
      <c r="P40" s="44">
        <f t="shared" si="26"/>
        <v>3.9224721717052568E-4</v>
      </c>
      <c r="Q40" s="45"/>
      <c r="R40" s="88">
        <f t="shared" si="27"/>
        <v>3.4368044961391939E-3</v>
      </c>
      <c r="S40" s="88">
        <f t="shared" si="4"/>
        <v>6.8307920193658833E-2</v>
      </c>
      <c r="T40" s="44">
        <f t="shared" si="28"/>
        <v>0.98422586251984057</v>
      </c>
      <c r="U40" s="75">
        <f t="shared" si="5"/>
        <v>504.84305193639568</v>
      </c>
      <c r="V40" s="44">
        <f t="shared" si="6"/>
        <v>1.0096861038727922</v>
      </c>
      <c r="W40" s="20">
        <f t="shared" si="7"/>
        <v>12.453383350155443</v>
      </c>
      <c r="X40" s="20">
        <f t="shared" si="29"/>
        <v>12.416079184331833</v>
      </c>
      <c r="Y40" s="44">
        <f t="shared" si="8"/>
        <v>23.045442215269716</v>
      </c>
      <c r="Z40" s="44">
        <f t="shared" si="30"/>
        <v>19.980904992860093</v>
      </c>
      <c r="AA40" s="44">
        <f t="shared" si="9"/>
        <v>0.98521535157106399</v>
      </c>
      <c r="AB40" s="45"/>
      <c r="AC40" s="86">
        <f t="shared" si="31"/>
        <v>888888.88888888888</v>
      </c>
      <c r="AD40" s="86">
        <f t="shared" si="10"/>
        <v>480000</v>
      </c>
      <c r="AE40" s="44">
        <f t="shared" si="11"/>
        <v>0.984178848684092</v>
      </c>
      <c r="AF40" s="87">
        <f t="shared" si="32"/>
        <v>1.996504802835794E-3</v>
      </c>
      <c r="AG40" s="87">
        <f t="shared" si="33"/>
        <v>2.0611915584476735E-3</v>
      </c>
      <c r="AH40" s="44">
        <f t="shared" si="34"/>
        <v>-34.198528039960266</v>
      </c>
      <c r="AI40" s="44">
        <f t="shared" si="35"/>
        <v>-2.9065603484551561</v>
      </c>
      <c r="AJ40" s="44">
        <f t="shared" si="36"/>
        <v>0.99955410332360606</v>
      </c>
      <c r="AK40" s="45"/>
      <c r="AL40" s="86">
        <f t="shared" si="12"/>
        <v>40</v>
      </c>
      <c r="AM40" s="86">
        <f t="shared" si="13"/>
        <v>120000</v>
      </c>
      <c r="AN40" s="20"/>
      <c r="AO40" s="87">
        <f t="shared" si="14"/>
        <v>1.1276756670975337E-2</v>
      </c>
      <c r="AP40" s="87">
        <f t="shared" si="37"/>
        <v>1.1288033427646314E-2</v>
      </c>
      <c r="AQ40" s="44">
        <f t="shared" si="38"/>
        <v>3.5201536837767833</v>
      </c>
      <c r="AR40" s="44">
        <f t="shared" si="39"/>
        <v>4.5236738374607732</v>
      </c>
      <c r="AS40" s="44">
        <f t="shared" si="40"/>
        <v>9.1592384010601213E-2</v>
      </c>
      <c r="AT40" s="45"/>
      <c r="AU40" s="89">
        <f t="shared" si="15"/>
        <v>5.8837613680253114</v>
      </c>
      <c r="AV40" s="86">
        <f t="shared" si="16"/>
        <v>2923.5551688865098</v>
      </c>
      <c r="AW40" s="18">
        <f t="shared" si="41"/>
        <v>68.456206289334219</v>
      </c>
      <c r="AX40" s="44">
        <f t="shared" si="42"/>
        <v>3.4228103144667115</v>
      </c>
      <c r="AY40" s="44">
        <f t="shared" si="17"/>
        <v>0.67213983412784262</v>
      </c>
      <c r="AZ40" s="89">
        <f t="shared" si="18"/>
        <v>9.2697078559884432</v>
      </c>
      <c r="BA40" s="86">
        <f t="shared" si="19"/>
        <v>1842.3930286308182</v>
      </c>
      <c r="BB40" s="44">
        <f t="shared" si="43"/>
        <v>0.38888464874619272</v>
      </c>
      <c r="BC40" s="20">
        <f t="shared" si="44"/>
        <v>7.7776929749238536E-3</v>
      </c>
      <c r="BD40" s="44">
        <f t="shared" si="20"/>
        <v>0.85302026849005119</v>
      </c>
      <c r="BE40" s="45"/>
      <c r="BF40" s="85">
        <f t="shared" si="21"/>
        <v>1.8719955661139265E-2</v>
      </c>
      <c r="BG40" s="85">
        <f t="shared" si="22"/>
        <v>0.13022341933276849</v>
      </c>
      <c r="BH40" s="18">
        <f t="shared" si="45"/>
        <v>785.34334575856792</v>
      </c>
      <c r="BI40" s="18">
        <f t="shared" si="46"/>
        <v>0.54974034203100042</v>
      </c>
      <c r="BJ40" s="44">
        <f t="shared" si="23"/>
        <v>0.99445040783807059</v>
      </c>
      <c r="BK40" s="90"/>
      <c r="BL40" s="20"/>
      <c r="BM40" s="20"/>
      <c r="BN40" s="20"/>
      <c r="BO40" s="20"/>
      <c r="BP40" s="20"/>
      <c r="BQ40" s="20"/>
      <c r="BR40" s="20"/>
      <c r="BS40" s="20"/>
      <c r="BT40" s="20"/>
      <c r="BU40" s="20"/>
      <c r="BV40" s="44"/>
      <c r="BX40" s="44"/>
      <c r="BY40" s="44"/>
      <c r="CA40" s="20"/>
      <c r="CB40" s="20"/>
    </row>
    <row r="41" spans="1:80" ht="34" x14ac:dyDescent="0.2">
      <c r="A41" s="92" t="s">
        <v>92</v>
      </c>
      <c r="B41" s="92" t="s">
        <v>93</v>
      </c>
      <c r="C41" s="93" t="s">
        <v>50</v>
      </c>
      <c r="D41" s="92" t="s">
        <v>94</v>
      </c>
      <c r="E41" s="93" t="s">
        <v>95</v>
      </c>
      <c r="F41" s="93" t="s">
        <v>96</v>
      </c>
      <c r="G41" s="85"/>
      <c r="H41" s="33">
        <v>3</v>
      </c>
      <c r="I41" s="86">
        <f t="shared" si="24"/>
        <v>39.236998640690238</v>
      </c>
      <c r="J41" s="86">
        <f t="shared" si="25"/>
        <v>389925.84169361717</v>
      </c>
      <c r="K41" s="85"/>
      <c r="L41" s="87">
        <f t="shared" si="0"/>
        <v>2.1175872127801226E-2</v>
      </c>
      <c r="M41" s="87">
        <f t="shared" si="1"/>
        <v>2.1175872127801226E-2</v>
      </c>
      <c r="N41" s="44">
        <f t="shared" si="2"/>
        <v>-1.5999809184277236</v>
      </c>
      <c r="O41" s="44">
        <f t="shared" si="3"/>
        <v>-1.5999809184277236</v>
      </c>
      <c r="P41" s="44">
        <f t="shared" si="26"/>
        <v>7.6941823695485341E-6</v>
      </c>
      <c r="Q41" s="45"/>
      <c r="R41" s="88">
        <f t="shared" si="27"/>
        <v>3.6526160804422059E-3</v>
      </c>
      <c r="S41" s="88">
        <f t="shared" si="4"/>
        <v>7.2597265279769285E-2</v>
      </c>
      <c r="T41" s="44">
        <f t="shared" si="28"/>
        <v>0.97643234933328715</v>
      </c>
      <c r="U41" s="75">
        <f t="shared" si="5"/>
        <v>536.54823201882414</v>
      </c>
      <c r="V41" s="44">
        <f t="shared" si="6"/>
        <v>1.0730964640376484</v>
      </c>
      <c r="W41" s="20">
        <f t="shared" si="7"/>
        <v>12.453634221783709</v>
      </c>
      <c r="X41" s="20">
        <f t="shared" si="29"/>
        <v>12.416329304473008</v>
      </c>
      <c r="Y41" s="44">
        <f t="shared" si="8"/>
        <v>23.066051319531766</v>
      </c>
      <c r="Z41" s="44">
        <f t="shared" si="30"/>
        <v>20.001452362457648</v>
      </c>
      <c r="AA41" s="44">
        <f t="shared" si="9"/>
        <v>0.97851016875502617</v>
      </c>
      <c r="AB41" s="45"/>
      <c r="AC41" s="86">
        <f t="shared" si="31"/>
        <v>888888.88888888888</v>
      </c>
      <c r="AD41" s="86">
        <f t="shared" si="10"/>
        <v>480000</v>
      </c>
      <c r="AE41" s="44">
        <f t="shared" si="11"/>
        <v>0.97636238782805429</v>
      </c>
      <c r="AF41" s="87">
        <f t="shared" si="32"/>
        <v>1.9965063237448568E-3</v>
      </c>
      <c r="AG41" s="87">
        <f t="shared" si="33"/>
        <v>2.0611931286341903E-3</v>
      </c>
      <c r="AH41" s="44">
        <f t="shared" si="34"/>
        <v>-34.197792306087102</v>
      </c>
      <c r="AI41" s="44">
        <f t="shared" si="35"/>
        <v>-2.905800776804135</v>
      </c>
      <c r="AJ41" s="44">
        <f t="shared" si="36"/>
        <v>0.99933122954980347</v>
      </c>
      <c r="AK41" s="45"/>
      <c r="AL41" s="86">
        <f t="shared" si="12"/>
        <v>40</v>
      </c>
      <c r="AM41" s="86">
        <f t="shared" si="13"/>
        <v>120000</v>
      </c>
      <c r="AN41" s="20"/>
      <c r="AO41" s="87">
        <f t="shared" si="14"/>
        <v>1.128048570834988E-2</v>
      </c>
      <c r="AP41" s="87">
        <f t="shared" si="37"/>
        <v>1.1291766194058231E-2</v>
      </c>
      <c r="AQ41" s="44">
        <f t="shared" si="38"/>
        <v>3.8520012414018368</v>
      </c>
      <c r="AR41" s="44">
        <f t="shared" si="39"/>
        <v>4.8558532426432599</v>
      </c>
      <c r="AS41" s="44">
        <f t="shared" si="40"/>
        <v>2.7717866856860316E-2</v>
      </c>
      <c r="AT41" s="45"/>
      <c r="AU41" s="89">
        <f t="shared" si="15"/>
        <v>7.8795854961604821</v>
      </c>
      <c r="AV41" s="86">
        <f t="shared" si="16"/>
        <v>3915.2510554170467</v>
      </c>
      <c r="AW41" s="18">
        <f t="shared" si="41"/>
        <v>91.677832131792783</v>
      </c>
      <c r="AX41" s="44">
        <f t="shared" si="42"/>
        <v>4.5838916065896385</v>
      </c>
      <c r="AY41" s="44">
        <f t="shared" si="17"/>
        <v>0.55104802693333477</v>
      </c>
      <c r="AZ41" s="89">
        <f t="shared" si="18"/>
        <v>8.945858340956006</v>
      </c>
      <c r="BA41" s="86">
        <f t="shared" si="19"/>
        <v>1778.0265892466709</v>
      </c>
      <c r="BB41" s="44">
        <f t="shared" si="43"/>
        <v>0.37530120173471471</v>
      </c>
      <c r="BC41" s="20">
        <f t="shared" si="44"/>
        <v>7.5060240346942935E-3</v>
      </c>
      <c r="BD41" s="44">
        <f t="shared" si="20"/>
        <v>0.78784181195123693</v>
      </c>
      <c r="BE41" s="45"/>
      <c r="BF41" s="85">
        <f t="shared" si="21"/>
        <v>2.3061769597774839E-2</v>
      </c>
      <c r="BG41" s="85">
        <f t="shared" si="22"/>
        <v>0.16042679519380698</v>
      </c>
      <c r="BH41" s="18">
        <f t="shared" si="45"/>
        <v>967.4990944747143</v>
      </c>
      <c r="BI41" s="18">
        <f t="shared" si="46"/>
        <v>0.67724936613230613</v>
      </c>
      <c r="BJ41" s="44">
        <f t="shared" si="23"/>
        <v>0.99168717170159681</v>
      </c>
      <c r="BK41" s="90"/>
      <c r="BL41" s="20"/>
      <c r="BM41" s="20"/>
      <c r="BN41" s="20"/>
      <c r="BO41" s="20"/>
      <c r="BP41" s="20"/>
      <c r="BQ41" s="20"/>
      <c r="BR41" s="20"/>
      <c r="BS41" s="20"/>
      <c r="BT41" s="20"/>
      <c r="BU41" s="20"/>
      <c r="BV41" s="44"/>
      <c r="BX41" s="44"/>
      <c r="BY41" s="44"/>
      <c r="CA41" s="20"/>
      <c r="CB41" s="20"/>
    </row>
    <row r="42" spans="1:80" x14ac:dyDescent="0.2">
      <c r="A42" s="94" t="s">
        <v>1</v>
      </c>
      <c r="B42" s="17" t="s">
        <v>42</v>
      </c>
      <c r="C42" s="95">
        <v>40</v>
      </c>
      <c r="D42" s="96" t="s">
        <v>97</v>
      </c>
      <c r="E42" s="95">
        <f>I5</f>
        <v>40</v>
      </c>
      <c r="F42" s="95">
        <f>I6</f>
        <v>39.236992881958379</v>
      </c>
      <c r="G42" s="85"/>
      <c r="H42" s="33">
        <v>4</v>
      </c>
      <c r="I42" s="86">
        <f t="shared" si="24"/>
        <v>39.236992994918793</v>
      </c>
      <c r="J42" s="86">
        <f t="shared" si="25"/>
        <v>389925.78558758821</v>
      </c>
      <c r="K42" s="85"/>
      <c r="L42" s="87">
        <f t="shared" si="0"/>
        <v>2.117587173102347E-2</v>
      </c>
      <c r="M42" s="87">
        <f t="shared" si="1"/>
        <v>2.117587173102347E-2</v>
      </c>
      <c r="N42" s="44">
        <f t="shared" si="2"/>
        <v>-1.5999996257053395</v>
      </c>
      <c r="O42" s="44">
        <f t="shared" si="3"/>
        <v>-1.5999996257053395</v>
      </c>
      <c r="P42" s="44">
        <f t="shared" si="26"/>
        <v>1.5092526637052693E-7</v>
      </c>
      <c r="Q42" s="45"/>
      <c r="R42" s="88">
        <f t="shared" si="27"/>
        <v>3.8667187781043326E-3</v>
      </c>
      <c r="S42" s="88">
        <f t="shared" si="4"/>
        <v>7.6852645532437425E-2</v>
      </c>
      <c r="T42" s="44">
        <f t="shared" si="28"/>
        <v>0.96870054845292441</v>
      </c>
      <c r="U42" s="75">
        <f t="shared" si="5"/>
        <v>567.99876497791547</v>
      </c>
      <c r="V42" s="44">
        <f t="shared" si="6"/>
        <v>1.1359975299558316</v>
      </c>
      <c r="W42" s="20">
        <f t="shared" si="7"/>
        <v>12.453871908313742</v>
      </c>
      <c r="X42" s="20">
        <f t="shared" si="29"/>
        <v>12.416566279011972</v>
      </c>
      <c r="Y42" s="44">
        <f t="shared" si="8"/>
        <v>23.085577267973889</v>
      </c>
      <c r="Z42" s="44">
        <f t="shared" si="30"/>
        <v>20.020919820833427</v>
      </c>
      <c r="AA42" s="44">
        <f t="shared" si="9"/>
        <v>0.97215739124962519</v>
      </c>
      <c r="AB42" s="45"/>
      <c r="AC42" s="86">
        <f t="shared" si="31"/>
        <v>888888.88888888888</v>
      </c>
      <c r="AD42" s="86">
        <f t="shared" si="10"/>
        <v>480000</v>
      </c>
      <c r="AE42" s="44">
        <f t="shared" si="11"/>
        <v>0.96860800619714482</v>
      </c>
      <c r="AF42" s="87">
        <f t="shared" si="32"/>
        <v>1.996507844314798E-3</v>
      </c>
      <c r="AG42" s="87">
        <f t="shared" si="33"/>
        <v>2.061194698470597E-3</v>
      </c>
      <c r="AH42" s="44">
        <f t="shared" si="34"/>
        <v>-34.197056736262496</v>
      </c>
      <c r="AI42" s="44">
        <f t="shared" si="35"/>
        <v>-2.9050413745176362</v>
      </c>
      <c r="AJ42" s="44">
        <f t="shared" si="36"/>
        <v>0.999108405470997</v>
      </c>
      <c r="AK42" s="45"/>
      <c r="AL42" s="86">
        <f t="shared" si="12"/>
        <v>40</v>
      </c>
      <c r="AM42" s="86">
        <f t="shared" si="13"/>
        <v>120000</v>
      </c>
      <c r="AN42" s="20"/>
      <c r="AO42" s="87">
        <f t="shared" si="14"/>
        <v>1.1281614196952599E-2</v>
      </c>
      <c r="AP42" s="87">
        <f t="shared" si="37"/>
        <v>1.1292895811149553E-2</v>
      </c>
      <c r="AQ42" s="44">
        <f t="shared" si="38"/>
        <v>3.9524256000249558</v>
      </c>
      <c r="AR42" s="44">
        <f t="shared" si="39"/>
        <v>4.9563780256249856</v>
      </c>
      <c r="AS42" s="44">
        <f t="shared" si="40"/>
        <v>8.388035221407528E-3</v>
      </c>
      <c r="AT42" s="45"/>
      <c r="AU42" s="89">
        <f t="shared" si="15"/>
        <v>9.5158446375962882</v>
      </c>
      <c r="AV42" s="86">
        <f t="shared" si="16"/>
        <v>4728.2843467702523</v>
      </c>
      <c r="AW42" s="18">
        <f t="shared" si="41"/>
        <v>110.71548538060478</v>
      </c>
      <c r="AX42" s="44">
        <f t="shared" si="42"/>
        <v>5.5357742690302389</v>
      </c>
      <c r="AY42" s="44">
        <f t="shared" si="17"/>
        <v>0.45177195662140374</v>
      </c>
      <c r="AZ42" s="89">
        <f t="shared" si="18"/>
        <v>8.6467538552275283</v>
      </c>
      <c r="BA42" s="86">
        <f t="shared" si="19"/>
        <v>1718.5783274568078</v>
      </c>
      <c r="BB42" s="44">
        <f t="shared" si="43"/>
        <v>0.36275307032906673</v>
      </c>
      <c r="BC42" s="20">
        <f t="shared" si="44"/>
        <v>7.2550614065813365E-3</v>
      </c>
      <c r="BD42" s="44">
        <f t="shared" si="20"/>
        <v>0.72764357845483885</v>
      </c>
      <c r="BE42" s="45"/>
      <c r="BF42" s="85">
        <f t="shared" si="21"/>
        <v>2.7391519124689401E-2</v>
      </c>
      <c r="BG42" s="85">
        <f t="shared" si="22"/>
        <v>0.19054624624676464</v>
      </c>
      <c r="BH42" s="18">
        <f t="shared" si="45"/>
        <v>1149.1431154191182</v>
      </c>
      <c r="BI42" s="18">
        <f t="shared" si="46"/>
        <v>0.80440018079338294</v>
      </c>
      <c r="BJ42" s="44">
        <f t="shared" si="23"/>
        <v>0.98893161364930482</v>
      </c>
      <c r="BK42" s="90"/>
      <c r="BL42" s="20"/>
      <c r="BM42" s="20"/>
      <c r="BN42" s="20"/>
      <c r="BO42" s="20"/>
      <c r="BP42" s="20"/>
      <c r="BQ42" s="20"/>
      <c r="BR42" s="20"/>
      <c r="BS42" s="20"/>
      <c r="BT42" s="20"/>
      <c r="BU42" s="20"/>
      <c r="BV42" s="44"/>
      <c r="BX42" s="44"/>
      <c r="BY42" s="44"/>
      <c r="CA42" s="20"/>
      <c r="CB42" s="20"/>
    </row>
    <row r="43" spans="1:80" x14ac:dyDescent="0.2">
      <c r="A43" s="94" t="s">
        <v>2</v>
      </c>
      <c r="B43" s="17" t="s">
        <v>42</v>
      </c>
      <c r="C43" s="97">
        <v>389354</v>
      </c>
      <c r="D43" s="98" t="s">
        <v>98</v>
      </c>
      <c r="E43" s="95">
        <f>J5</f>
        <v>397508.32653061231</v>
      </c>
      <c r="F43" s="95">
        <f>J6</f>
        <v>389925.78446502058</v>
      </c>
      <c r="G43" s="85"/>
      <c r="H43" s="33">
        <v>5</v>
      </c>
      <c r="I43" s="86">
        <f t="shared" si="24"/>
        <v>39.236992884174157</v>
      </c>
      <c r="J43" s="86">
        <f t="shared" si="25"/>
        <v>389925.78448704031</v>
      </c>
      <c r="K43" s="85"/>
      <c r="L43" s="87">
        <f t="shared" si="0"/>
        <v>2.1175871723240473E-2</v>
      </c>
      <c r="M43" s="87">
        <f t="shared" si="1"/>
        <v>2.1175871723240473E-2</v>
      </c>
      <c r="N43" s="44">
        <f t="shared" si="2"/>
        <v>-1.5999999926580299</v>
      </c>
      <c r="O43" s="44">
        <f t="shared" si="3"/>
        <v>-1.5999999926580299</v>
      </c>
      <c r="P43" s="44">
        <f t="shared" si="26"/>
        <v>2.9604718318387182E-9</v>
      </c>
      <c r="Q43" s="45"/>
      <c r="R43" s="88">
        <f t="shared" si="27"/>
        <v>4.0791261208067385E-3</v>
      </c>
      <c r="S43" s="88">
        <f t="shared" si="4"/>
        <v>8.107432989945984E-2</v>
      </c>
      <c r="T43" s="44">
        <f t="shared" si="28"/>
        <v>0.9610299712148288</v>
      </c>
      <c r="U43" s="75">
        <f t="shared" si="5"/>
        <v>599.20018452511317</v>
      </c>
      <c r="V43" s="44">
        <f t="shared" si="6"/>
        <v>1.1984003690502283</v>
      </c>
      <c r="W43" s="20">
        <f t="shared" si="7"/>
        <v>12.454098548963971</v>
      </c>
      <c r="X43" s="20">
        <f t="shared" si="29"/>
        <v>12.416792240759113</v>
      </c>
      <c r="Y43" s="44">
        <f t="shared" si="8"/>
        <v>23.104195797390314</v>
      </c>
      <c r="Z43" s="44">
        <f t="shared" si="30"/>
        <v>20.039482578361188</v>
      </c>
      <c r="AA43" s="44">
        <f t="shared" si="9"/>
        <v>0.96609984299742957</v>
      </c>
      <c r="AB43" s="45"/>
      <c r="AC43" s="86">
        <f t="shared" si="31"/>
        <v>888888.88888888888</v>
      </c>
      <c r="AD43" s="86">
        <f t="shared" si="10"/>
        <v>480000</v>
      </c>
      <c r="AE43" s="44">
        <f t="shared" si="11"/>
        <v>0.96091521075106534</v>
      </c>
      <c r="AF43" s="87">
        <f t="shared" si="32"/>
        <v>1.9965093645456923E-3</v>
      </c>
      <c r="AG43" s="87">
        <f t="shared" si="33"/>
        <v>2.0611962679569725E-3</v>
      </c>
      <c r="AH43" s="44">
        <f t="shared" si="34"/>
        <v>-34.196321330450694</v>
      </c>
      <c r="AI43" s="44">
        <f t="shared" si="35"/>
        <v>-2.9042821415573572</v>
      </c>
      <c r="AJ43" s="44">
        <f t="shared" si="36"/>
        <v>0.99888563107594786</v>
      </c>
      <c r="AK43" s="45"/>
      <c r="AL43" s="86">
        <f t="shared" si="12"/>
        <v>40</v>
      </c>
      <c r="AM43" s="86">
        <f t="shared" si="13"/>
        <v>120000</v>
      </c>
      <c r="AN43" s="20"/>
      <c r="AO43" s="87">
        <f t="shared" si="14"/>
        <v>1.1281955702386456E-2</v>
      </c>
      <c r="AP43" s="87">
        <f t="shared" si="37"/>
        <v>1.1293237658088843E-2</v>
      </c>
      <c r="AQ43" s="44">
        <f t="shared" si="38"/>
        <v>3.9828162163579872</v>
      </c>
      <c r="AR43" s="44">
        <f t="shared" si="39"/>
        <v>4.9867990325742628</v>
      </c>
      <c r="AS43" s="44">
        <f t="shared" si="40"/>
        <v>2.5384036671930311E-3</v>
      </c>
      <c r="AT43" s="45"/>
      <c r="AU43" s="89">
        <f t="shared" si="15"/>
        <v>10.857317536029408</v>
      </c>
      <c r="AV43" s="86">
        <f t="shared" si="16"/>
        <v>5394.8426554481521</v>
      </c>
      <c r="AW43" s="18">
        <f t="shared" si="41"/>
        <v>126.32333020406372</v>
      </c>
      <c r="AX43" s="44">
        <f t="shared" si="42"/>
        <v>6.3161665102031881</v>
      </c>
      <c r="AY43" s="44">
        <f t="shared" si="17"/>
        <v>0.37038132941944646</v>
      </c>
      <c r="AZ43" s="89">
        <f t="shared" si="18"/>
        <v>8.3705036549641854</v>
      </c>
      <c r="BA43" s="86">
        <f t="shared" si="19"/>
        <v>1663.6724500515938</v>
      </c>
      <c r="BB43" s="44">
        <f t="shared" si="43"/>
        <v>0.35116368066536208</v>
      </c>
      <c r="BC43" s="20">
        <f t="shared" si="44"/>
        <v>7.0232736133072418E-3</v>
      </c>
      <c r="BD43" s="44">
        <f t="shared" si="20"/>
        <v>0.67204503395833237</v>
      </c>
      <c r="BE43" s="45"/>
      <c r="BF43" s="85">
        <f t="shared" si="21"/>
        <v>3.1709237764733444E-2</v>
      </c>
      <c r="BG43" s="85">
        <f t="shared" si="22"/>
        <v>0.22058200568985953</v>
      </c>
      <c r="BH43" s="18">
        <f t="shared" si="45"/>
        <v>1330.2822749444865</v>
      </c>
      <c r="BI43" s="18">
        <f t="shared" si="46"/>
        <v>0.93119759246114486</v>
      </c>
      <c r="BJ43" s="44">
        <f t="shared" si="23"/>
        <v>0.98618371234643565</v>
      </c>
      <c r="BK43" s="90"/>
      <c r="BL43" s="20"/>
      <c r="BM43" s="20"/>
      <c r="BN43" s="20"/>
      <c r="BO43" s="20"/>
      <c r="BP43" s="20"/>
      <c r="BQ43" s="20"/>
      <c r="BR43" s="20"/>
      <c r="BS43" s="20"/>
      <c r="BT43" s="20"/>
      <c r="BU43" s="20"/>
      <c r="BV43" s="44"/>
      <c r="BX43" s="44"/>
      <c r="BY43" s="44"/>
      <c r="CA43" s="20"/>
      <c r="CB43" s="20"/>
    </row>
    <row r="44" spans="1:80" x14ac:dyDescent="0.2">
      <c r="A44" s="99" t="s">
        <v>99</v>
      </c>
      <c r="B44" s="17" t="s">
        <v>43</v>
      </c>
      <c r="C44" s="16">
        <v>0.88</v>
      </c>
      <c r="D44" s="96" t="s">
        <v>100</v>
      </c>
      <c r="E44" s="100">
        <v>0.88</v>
      </c>
      <c r="F44" s="101">
        <v>-1.6</v>
      </c>
      <c r="G44" s="85"/>
      <c r="H44" s="33">
        <v>7</v>
      </c>
      <c r="I44" s="86">
        <f t="shared" si="24"/>
        <v>39.236992881959232</v>
      </c>
      <c r="J44" s="86">
        <f t="shared" si="25"/>
        <v>389925.78446502908</v>
      </c>
      <c r="K44" s="85"/>
      <c r="L44" s="87">
        <f t="shared" si="0"/>
        <v>2.1175871723084813E-2</v>
      </c>
      <c r="M44" s="87">
        <f t="shared" si="1"/>
        <v>2.1175871723084813E-2</v>
      </c>
      <c r="N44" s="44">
        <f t="shared" si="2"/>
        <v>-1.5999999999971593</v>
      </c>
      <c r="O44" s="44">
        <f t="shared" si="3"/>
        <v>-1.5999999999971593</v>
      </c>
      <c r="P44" s="44">
        <f t="shared" si="26"/>
        <v>1.145499465891474E-12</v>
      </c>
      <c r="Q44" s="45"/>
      <c r="R44" s="88">
        <f t="shared" si="27"/>
        <v>4.498908333157893E-3</v>
      </c>
      <c r="S44" s="88">
        <f t="shared" si="4"/>
        <v>8.9417676136411051E-2</v>
      </c>
      <c r="T44" s="44">
        <f t="shared" si="28"/>
        <v>0.94587055232633277</v>
      </c>
      <c r="U44" s="75">
        <f t="shared" si="5"/>
        <v>660.86377908040993</v>
      </c>
      <c r="V44" s="44">
        <f t="shared" si="6"/>
        <v>1.3217275581608203</v>
      </c>
      <c r="W44" s="20">
        <f t="shared" si="7"/>
        <v>12.454525104014854</v>
      </c>
      <c r="X44" s="20">
        <f t="shared" si="29"/>
        <v>12.417217518062424</v>
      </c>
      <c r="Y44" s="44">
        <f t="shared" si="8"/>
        <v>23.139237294820258</v>
      </c>
      <c r="Z44" s="44">
        <f t="shared" si="30"/>
        <v>20.074419108828234</v>
      </c>
      <c r="AA44" s="44">
        <f t="shared" si="9"/>
        <v>0.95469907353992356</v>
      </c>
      <c r="AB44" s="45"/>
      <c r="AC44" s="86">
        <f t="shared" si="31"/>
        <v>888888.88888888888</v>
      </c>
      <c r="AD44" s="86">
        <f t="shared" si="10"/>
        <v>480000</v>
      </c>
      <c r="AE44" s="44">
        <f t="shared" si="11"/>
        <v>0.94571242580001513</v>
      </c>
      <c r="AF44" s="87">
        <f t="shared" si="32"/>
        <v>1.996512403990645E-3</v>
      </c>
      <c r="AG44" s="87">
        <f t="shared" si="33"/>
        <v>2.0611994058799417E-3</v>
      </c>
      <c r="AH44" s="44">
        <f t="shared" si="34"/>
        <v>-34.1948510107174</v>
      </c>
      <c r="AI44" s="44">
        <f t="shared" si="35"/>
        <v>-2.90276418346469</v>
      </c>
      <c r="AJ44" s="44">
        <f t="shared" si="36"/>
        <v>0.99844023129288317</v>
      </c>
      <c r="AK44" s="45"/>
      <c r="AL44" s="86">
        <f t="shared" si="12"/>
        <v>40</v>
      </c>
      <c r="AM44" s="86">
        <f t="shared" si="13"/>
        <v>120000</v>
      </c>
      <c r="AN44" s="20"/>
      <c r="AO44" s="87">
        <f t="shared" si="14"/>
        <v>1.1282090324515657E-2</v>
      </c>
      <c r="AP44" s="87">
        <f t="shared" si="37"/>
        <v>1.1293372414840174E-2</v>
      </c>
      <c r="AQ44" s="44">
        <f t="shared" si="38"/>
        <v>3.9947962584681029</v>
      </c>
      <c r="AR44" s="44">
        <f t="shared" si="39"/>
        <v>4.9987910547266701</v>
      </c>
      <c r="AS44" s="44">
        <f t="shared" si="40"/>
        <v>2.3246713792152314E-4</v>
      </c>
      <c r="AT44" s="45"/>
      <c r="AU44" s="89">
        <f t="shared" si="15"/>
        <v>12.85876985538407</v>
      </c>
      <c r="AV44" s="86">
        <f t="shared" si="16"/>
        <v>6389.3351080700077</v>
      </c>
      <c r="AW44" s="18">
        <f t="shared" si="41"/>
        <v>149.60994049967496</v>
      </c>
      <c r="AX44" s="44">
        <f t="shared" si="42"/>
        <v>7.4804970249837499</v>
      </c>
      <c r="AY44" s="44">
        <f t="shared" si="17"/>
        <v>0.24894804532003656</v>
      </c>
      <c r="AZ44" s="89">
        <f t="shared" si="18"/>
        <v>7.8797144462424358</v>
      </c>
      <c r="BA44" s="86">
        <f t="shared" si="19"/>
        <v>1566.1260515324607</v>
      </c>
      <c r="BB44" s="44">
        <f t="shared" si="43"/>
        <v>0.33057383901262505</v>
      </c>
      <c r="BC44" s="20">
        <f t="shared" si="44"/>
        <v>6.6114767802525004E-3</v>
      </c>
      <c r="BD44" s="44">
        <f t="shared" si="20"/>
        <v>0.57326803530454229</v>
      </c>
      <c r="BE44" s="45"/>
      <c r="BF44" s="85">
        <f t="shared" si="21"/>
        <v>4.0308716010132306E-2</v>
      </c>
      <c r="BG44" s="85">
        <f t="shared" si="22"/>
        <v>0.28040337930124437</v>
      </c>
      <c r="BH44" s="18">
        <f t="shared" si="45"/>
        <v>1691.0520156594425</v>
      </c>
      <c r="BI44" s="18">
        <f t="shared" si="46"/>
        <v>1.1837364109616093</v>
      </c>
      <c r="BJ44" s="44">
        <f t="shared" si="23"/>
        <v>0.98071079494617541</v>
      </c>
      <c r="BK44" s="90"/>
      <c r="BL44" s="20"/>
      <c r="BM44" s="20"/>
      <c r="BN44" s="20"/>
      <c r="BO44" s="20"/>
      <c r="BP44" s="20"/>
      <c r="BQ44" s="20"/>
      <c r="BR44" s="20"/>
      <c r="BS44" s="20"/>
      <c r="BT44" s="20"/>
      <c r="BU44" s="20"/>
      <c r="BV44" s="44"/>
      <c r="BX44" s="44"/>
      <c r="BY44" s="44"/>
      <c r="CA44" s="20"/>
      <c r="CB44" s="20"/>
    </row>
    <row r="45" spans="1:80" x14ac:dyDescent="0.2">
      <c r="A45" s="102" t="s">
        <v>101</v>
      </c>
      <c r="B45" s="103" t="s">
        <v>43</v>
      </c>
      <c r="C45" s="104">
        <v>-1.6</v>
      </c>
      <c r="D45" s="105" t="s">
        <v>102</v>
      </c>
      <c r="E45" s="106">
        <v>0.88</v>
      </c>
      <c r="F45" s="107">
        <v>-1.6</v>
      </c>
      <c r="G45" s="85"/>
      <c r="H45" s="33">
        <v>9</v>
      </c>
      <c r="I45" s="86">
        <f t="shared" si="24"/>
        <v>39.236992881958379</v>
      </c>
      <c r="J45" s="86">
        <f t="shared" si="25"/>
        <v>389925.78446502058</v>
      </c>
      <c r="K45" s="85"/>
      <c r="L45" s="87">
        <f t="shared" si="0"/>
        <v>2.1175871723084751E-2</v>
      </c>
      <c r="M45" s="87">
        <f t="shared" si="1"/>
        <v>2.1175871723084751E-2</v>
      </c>
      <c r="N45" s="44">
        <f t="shared" si="2"/>
        <v>-1.6000000000000458</v>
      </c>
      <c r="O45" s="44">
        <f t="shared" si="3"/>
        <v>-1.6000000000000458</v>
      </c>
      <c r="P45" s="44">
        <f t="shared" si="26"/>
        <v>-1.8444027667159893E-14</v>
      </c>
      <c r="Q45" s="45"/>
      <c r="R45" s="88">
        <f t="shared" si="27"/>
        <v>4.9120688431796983E-3</v>
      </c>
      <c r="S45" s="88">
        <f t="shared" si="4"/>
        <v>9.762941328277619E-2</v>
      </c>
      <c r="T45" s="44">
        <f t="shared" si="28"/>
        <v>0.93095026019550287</v>
      </c>
      <c r="U45" s="75">
        <f t="shared" si="5"/>
        <v>721.55468358439543</v>
      </c>
      <c r="V45" s="44">
        <f t="shared" si="6"/>
        <v>1.4431093671687918</v>
      </c>
      <c r="W45" s="20">
        <f t="shared" si="7"/>
        <v>12.454923787761004</v>
      </c>
      <c r="X45" s="20">
        <f t="shared" si="29"/>
        <v>12.417615007549619</v>
      </c>
      <c r="Y45" s="44">
        <f t="shared" si="8"/>
        <v>23.171989164566533</v>
      </c>
      <c r="Z45" s="44">
        <f t="shared" si="30"/>
        <v>20.107072870201304</v>
      </c>
      <c r="AA45" s="44">
        <f t="shared" si="9"/>
        <v>0.94404323564306303</v>
      </c>
      <c r="AB45" s="45"/>
      <c r="AC45" s="86">
        <f t="shared" si="31"/>
        <v>888888.88888888888</v>
      </c>
      <c r="AD45" s="86">
        <f t="shared" si="10"/>
        <v>480000</v>
      </c>
      <c r="AE45" s="44">
        <f t="shared" si="11"/>
        <v>0.93075016641009867</v>
      </c>
      <c r="AF45" s="87">
        <f t="shared" si="32"/>
        <v>1.9965154420803189E-3</v>
      </c>
      <c r="AG45" s="87">
        <f t="shared" si="33"/>
        <v>2.0612025424037212E-3</v>
      </c>
      <c r="AH45" s="44">
        <f t="shared" si="34"/>
        <v>-34.19338134659489</v>
      </c>
      <c r="AI45" s="44">
        <f t="shared" si="35"/>
        <v>-2.9012469022245968</v>
      </c>
      <c r="AJ45" s="44">
        <f t="shared" si="36"/>
        <v>0.99799503011213231</v>
      </c>
      <c r="AK45" s="45"/>
      <c r="AL45" s="86">
        <f t="shared" si="12"/>
        <v>40</v>
      </c>
      <c r="AM45" s="86">
        <f t="shared" si="13"/>
        <v>120000</v>
      </c>
      <c r="AN45" s="20"/>
      <c r="AO45" s="87">
        <f t="shared" si="14"/>
        <v>1.1282102653217147E-2</v>
      </c>
      <c r="AP45" s="87">
        <f t="shared" si="37"/>
        <v>1.1293384755870366E-2</v>
      </c>
      <c r="AQ45" s="44">
        <f t="shared" si="38"/>
        <v>3.9958933913384342</v>
      </c>
      <c r="AR45" s="44">
        <f t="shared" si="39"/>
        <v>4.9998892847298304</v>
      </c>
      <c r="AS45" s="44">
        <f t="shared" si="40"/>
        <v>2.1289352420098596E-5</v>
      </c>
      <c r="AT45" s="45"/>
      <c r="AU45" s="89">
        <f t="shared" si="15"/>
        <v>14.204025685329897</v>
      </c>
      <c r="AV45" s="86">
        <f t="shared" si="16"/>
        <v>7057.7731002166529</v>
      </c>
      <c r="AW45" s="18">
        <f t="shared" si="41"/>
        <v>165.26179887637747</v>
      </c>
      <c r="AX45" s="44">
        <f t="shared" si="42"/>
        <v>8.2630899438188745</v>
      </c>
      <c r="AY45" s="44">
        <f t="shared" si="17"/>
        <v>0.16732789788786001</v>
      </c>
      <c r="AZ45" s="89">
        <f t="shared" si="18"/>
        <v>7.4610613036465878</v>
      </c>
      <c r="BA45" s="86">
        <f t="shared" si="19"/>
        <v>1482.9169964774321</v>
      </c>
      <c r="BB45" s="44">
        <f t="shared" si="43"/>
        <v>0.31301028674093678</v>
      </c>
      <c r="BC45" s="20">
        <f t="shared" si="44"/>
        <v>6.2602057348187367E-3</v>
      </c>
      <c r="BD45" s="44">
        <f t="shared" si="20"/>
        <v>0.48900925339224477</v>
      </c>
      <c r="BE45" s="45"/>
      <c r="BF45" s="85">
        <f t="shared" si="21"/>
        <v>4.886047065846344E-2</v>
      </c>
      <c r="BG45" s="85">
        <f t="shared" si="22"/>
        <v>0.33989276868651785</v>
      </c>
      <c r="BH45" s="18">
        <f t="shared" si="45"/>
        <v>2049.8196313744165</v>
      </c>
      <c r="BI45" s="18">
        <f t="shared" si="46"/>
        <v>1.4348737419620905</v>
      </c>
      <c r="BJ45" s="44">
        <f t="shared" si="23"/>
        <v>0.97526825000542272</v>
      </c>
      <c r="BK45" s="90"/>
      <c r="BL45" s="20"/>
      <c r="BM45" s="20"/>
      <c r="BN45" s="20"/>
      <c r="BO45" s="20"/>
      <c r="BP45" s="20"/>
      <c r="BQ45" s="20"/>
      <c r="BR45" s="20"/>
      <c r="BS45" s="20"/>
      <c r="BT45" s="20"/>
      <c r="BU45" s="20"/>
      <c r="BV45" s="44"/>
      <c r="BX45" s="44"/>
      <c r="BY45" s="44"/>
      <c r="CA45" s="20"/>
      <c r="CB45" s="20"/>
    </row>
    <row r="46" spans="1:80" x14ac:dyDescent="0.2">
      <c r="A46" s="94" t="s">
        <v>7</v>
      </c>
      <c r="B46" s="17" t="s">
        <v>42</v>
      </c>
      <c r="C46" s="108">
        <f>R4</f>
        <v>3.0000000000000001E-3</v>
      </c>
      <c r="D46" s="109" t="s">
        <v>98</v>
      </c>
      <c r="E46" s="108">
        <f>R5</f>
        <v>3.0000000000000001E-3</v>
      </c>
      <c r="F46" s="108">
        <f>R6</f>
        <v>3.0691181003627284E-2</v>
      </c>
      <c r="G46" s="85"/>
      <c r="H46" s="33">
        <v>12</v>
      </c>
      <c r="I46" s="86">
        <f t="shared" si="24"/>
        <v>39.236992881958379</v>
      </c>
      <c r="J46" s="86">
        <f t="shared" si="25"/>
        <v>389925.78446502058</v>
      </c>
      <c r="K46" s="85"/>
      <c r="L46" s="87">
        <f t="shared" si="0"/>
        <v>2.1175871723084751E-2</v>
      </c>
      <c r="M46" s="87">
        <f t="shared" si="1"/>
        <v>2.1175871723084751E-2</v>
      </c>
      <c r="N46" s="44">
        <f t="shared" si="2"/>
        <v>-1.6000000000000458</v>
      </c>
      <c r="O46" s="44">
        <f t="shared" si="3"/>
        <v>-1.6000000000000458</v>
      </c>
      <c r="P46" s="44">
        <f t="shared" si="26"/>
        <v>-1.8444027667159893E-14</v>
      </c>
      <c r="Q46" s="45"/>
      <c r="R46" s="88">
        <f t="shared" si="27"/>
        <v>5.5196219530751385E-3</v>
      </c>
      <c r="S46" s="88">
        <f t="shared" si="4"/>
        <v>0.10970478428242647</v>
      </c>
      <c r="T46" s="44">
        <f t="shared" si="28"/>
        <v>0.90900994967512971</v>
      </c>
      <c r="U46" s="75">
        <f t="shared" si="5"/>
        <v>810.80074384269278</v>
      </c>
      <c r="V46" s="44">
        <f t="shared" si="6"/>
        <v>1.6216014876853866</v>
      </c>
      <c r="W46" s="20">
        <f t="shared" si="7"/>
        <v>12.455483398018631</v>
      </c>
      <c r="X46" s="20">
        <f t="shared" si="29"/>
        <v>12.418172941492204</v>
      </c>
      <c r="Y46" s="44">
        <f t="shared" si="8"/>
        <v>23.217961147230515</v>
      </c>
      <c r="Z46" s="44">
        <f t="shared" si="30"/>
        <v>20.152907143584422</v>
      </c>
      <c r="AA46" s="44">
        <f t="shared" si="9"/>
        <v>0.92908622711615574</v>
      </c>
      <c r="AB46" s="45"/>
      <c r="AC46" s="86">
        <f t="shared" si="31"/>
        <v>888888.88888888888</v>
      </c>
      <c r="AD46" s="86">
        <f t="shared" si="10"/>
        <v>480000</v>
      </c>
      <c r="AE46" s="44">
        <f t="shared" si="11"/>
        <v>0.90874945494752268</v>
      </c>
      <c r="AF46" s="87">
        <f t="shared" si="32"/>
        <v>1.9965199966750051E-3</v>
      </c>
      <c r="AG46" s="87">
        <f t="shared" si="33"/>
        <v>2.0612072445672751E-3</v>
      </c>
      <c r="AH46" s="44">
        <f t="shared" si="34"/>
        <v>-34.191178079041592</v>
      </c>
      <c r="AI46" s="44">
        <f t="shared" si="35"/>
        <v>-2.8989722488026448</v>
      </c>
      <c r="AJ46" s="44">
        <f t="shared" si="36"/>
        <v>0.99732760052657332</v>
      </c>
      <c r="AK46" s="45"/>
      <c r="AL46" s="86">
        <f t="shared" si="12"/>
        <v>40</v>
      </c>
      <c r="AM46" s="86">
        <f t="shared" si="13"/>
        <v>120000</v>
      </c>
      <c r="AN46" s="20"/>
      <c r="AO46" s="87">
        <f t="shared" si="14"/>
        <v>1.1282103861658363E-2</v>
      </c>
      <c r="AP46" s="87">
        <f t="shared" si="37"/>
        <v>1.1293385965520023E-2</v>
      </c>
      <c r="AQ46" s="44">
        <f t="shared" si="38"/>
        <v>3.9960009306911903</v>
      </c>
      <c r="AR46" s="44">
        <f t="shared" si="39"/>
        <v>4.9999969316221193</v>
      </c>
      <c r="AS46" s="44">
        <f t="shared" si="40"/>
        <v>5.9001597484678444E-7</v>
      </c>
      <c r="AT46" s="45"/>
      <c r="AU46" s="89">
        <f t="shared" si="15"/>
        <v>15.442182771643928</v>
      </c>
      <c r="AV46" s="86">
        <f t="shared" si="16"/>
        <v>7672.9952894200396</v>
      </c>
      <c r="AW46" s="18">
        <f t="shared" si="41"/>
        <v>179.66757875236888</v>
      </c>
      <c r="AX46" s="44">
        <f t="shared" si="42"/>
        <v>8.9833789376184452</v>
      </c>
      <c r="AY46" s="44">
        <f t="shared" si="17"/>
        <v>9.2205707982007779E-2</v>
      </c>
      <c r="AZ46" s="89">
        <f t="shared" si="18"/>
        <v>6.9455762779878221</v>
      </c>
      <c r="BA46" s="86">
        <f t="shared" si="19"/>
        <v>1380.4622015268292</v>
      </c>
      <c r="BB46" s="44">
        <f t="shared" si="43"/>
        <v>0.29138439343628741</v>
      </c>
      <c r="BC46" s="20">
        <f t="shared" si="44"/>
        <v>5.8276878687257483E-3</v>
      </c>
      <c r="BD46" s="44">
        <f t="shared" si="20"/>
        <v>0.38526193625346761</v>
      </c>
      <c r="BE46" s="45"/>
      <c r="BF46" s="85">
        <f t="shared" si="21"/>
        <v>6.1599199836059437E-2</v>
      </c>
      <c r="BG46" s="85">
        <f t="shared" si="22"/>
        <v>0.42850840974299409</v>
      </c>
      <c r="BH46" s="18">
        <f t="shared" si="45"/>
        <v>2584.2413591044437</v>
      </c>
      <c r="BI46" s="18">
        <f t="shared" si="46"/>
        <v>1.8089689513731144</v>
      </c>
      <c r="BJ46" s="44">
        <f t="shared" si="23"/>
        <v>0.96716101249824338</v>
      </c>
      <c r="BK46" s="90"/>
      <c r="BL46" s="20"/>
      <c r="BM46" s="20"/>
      <c r="BN46" s="20"/>
      <c r="BO46" s="20"/>
      <c r="BP46" s="20"/>
      <c r="BQ46" s="20"/>
      <c r="BR46" s="20"/>
      <c r="BS46" s="20"/>
      <c r="BT46" s="20"/>
      <c r="BU46" s="20"/>
      <c r="BV46" s="44"/>
      <c r="BX46" s="44"/>
      <c r="BY46" s="44"/>
      <c r="CA46" s="20"/>
      <c r="CB46" s="20"/>
    </row>
    <row r="47" spans="1:80" x14ac:dyDescent="0.2">
      <c r="A47" s="94" t="s">
        <v>8</v>
      </c>
      <c r="B47" s="17" t="s">
        <v>42</v>
      </c>
      <c r="C47" s="108">
        <v>0.51</v>
      </c>
      <c r="D47" s="109" t="s">
        <v>103</v>
      </c>
      <c r="E47" s="108">
        <f>S5</f>
        <v>5.9626248979591845E-2</v>
      </c>
      <c r="F47" s="108">
        <f>S6</f>
        <v>0.61</v>
      </c>
      <c r="G47" s="85"/>
      <c r="H47" s="33">
        <v>15</v>
      </c>
      <c r="I47" s="86">
        <f t="shared" si="24"/>
        <v>39.236992881958379</v>
      </c>
      <c r="J47" s="86">
        <f t="shared" si="25"/>
        <v>389925.78446502058</v>
      </c>
      <c r="K47" s="85"/>
      <c r="L47" s="87">
        <f t="shared" si="0"/>
        <v>2.1175871723084751E-2</v>
      </c>
      <c r="M47" s="87">
        <f t="shared" si="1"/>
        <v>2.1175871723084751E-2</v>
      </c>
      <c r="N47" s="44">
        <f t="shared" si="2"/>
        <v>-1.6000000000000458</v>
      </c>
      <c r="O47" s="44">
        <f t="shared" si="3"/>
        <v>-1.6000000000000458</v>
      </c>
      <c r="P47" s="44">
        <f t="shared" si="26"/>
        <v>-1.8444027667159893E-14</v>
      </c>
      <c r="Q47" s="45"/>
      <c r="R47" s="88">
        <f t="shared" si="27"/>
        <v>6.1128564635150873E-3</v>
      </c>
      <c r="S47" s="88">
        <f t="shared" si="4"/>
        <v>0.12149556715668602</v>
      </c>
      <c r="T47" s="44">
        <f t="shared" si="28"/>
        <v>0.88758672072861999</v>
      </c>
      <c r="U47" s="75">
        <f t="shared" si="5"/>
        <v>897.94348412944191</v>
      </c>
      <c r="V47" s="44">
        <f t="shared" si="6"/>
        <v>1.7958869682588845</v>
      </c>
      <c r="W47" s="20">
        <f t="shared" si="7"/>
        <v>12.456009101291361</v>
      </c>
      <c r="X47" s="20">
        <f t="shared" si="29"/>
        <v>12.418697070018416</v>
      </c>
      <c r="Y47" s="44">
        <f t="shared" si="8"/>
        <v>23.261147671085336</v>
      </c>
      <c r="Z47" s="44">
        <f t="shared" si="30"/>
        <v>20.195964302012868</v>
      </c>
      <c r="AA47" s="44">
        <f t="shared" si="9"/>
        <v>0.91503546906504762</v>
      </c>
      <c r="AB47" s="45"/>
      <c r="AC47" s="86">
        <f t="shared" si="31"/>
        <v>888888.88888888888</v>
      </c>
      <c r="AD47" s="86">
        <f t="shared" si="10"/>
        <v>480000</v>
      </c>
      <c r="AE47" s="44">
        <f t="shared" si="11"/>
        <v>0.88726878777000606</v>
      </c>
      <c r="AF47" s="87">
        <f t="shared" si="32"/>
        <v>1.9965245482237125E-3</v>
      </c>
      <c r="AG47" s="87">
        <f t="shared" si="33"/>
        <v>2.0612119435861609E-3</v>
      </c>
      <c r="AH47" s="44">
        <f t="shared" si="34"/>
        <v>-34.188976284968753</v>
      </c>
      <c r="AI47" s="44">
        <f t="shared" si="35"/>
        <v>-2.8966991166017309</v>
      </c>
      <c r="AJ47" s="44">
        <f t="shared" si="36"/>
        <v>0.99666061729821198</v>
      </c>
      <c r="AK47" s="45"/>
      <c r="AL47" s="86">
        <f t="shared" si="12"/>
        <v>40</v>
      </c>
      <c r="AM47" s="86">
        <f t="shared" si="13"/>
        <v>120000</v>
      </c>
      <c r="AN47" s="20"/>
      <c r="AO47" s="87">
        <f t="shared" si="14"/>
        <v>1.1282103895149265E-2</v>
      </c>
      <c r="AP47" s="87">
        <f t="shared" si="37"/>
        <v>1.1293385999044416E-2</v>
      </c>
      <c r="AQ47" s="44">
        <f t="shared" si="38"/>
        <v>3.9960039110513712</v>
      </c>
      <c r="AR47" s="44">
        <f t="shared" si="39"/>
        <v>4.9999999149625829</v>
      </c>
      <c r="AS47" s="44">
        <f t="shared" si="40"/>
        <v>1.6351778204879448E-8</v>
      </c>
      <c r="AT47" s="45"/>
      <c r="AU47" s="89">
        <f t="shared" si="15"/>
        <v>16.124466791090803</v>
      </c>
      <c r="AV47" s="86">
        <f t="shared" si="16"/>
        <v>8012.0122629061725</v>
      </c>
      <c r="AW47" s="18">
        <f t="shared" si="41"/>
        <v>187.60585532946993</v>
      </c>
      <c r="AX47" s="44">
        <f t="shared" si="42"/>
        <v>9.380292766473497</v>
      </c>
      <c r="AY47" s="44">
        <f t="shared" si="17"/>
        <v>5.0809773455476645E-2</v>
      </c>
      <c r="AZ47" s="89">
        <f t="shared" si="18"/>
        <v>6.5394556213390906</v>
      </c>
      <c r="BA47" s="86">
        <f t="shared" si="19"/>
        <v>1299.7440302298537</v>
      </c>
      <c r="BB47" s="44">
        <f t="shared" si="43"/>
        <v>0.27434661047008835</v>
      </c>
      <c r="BC47" s="20">
        <f t="shared" si="44"/>
        <v>5.4869322094017667E-3</v>
      </c>
      <c r="BD47" s="44">
        <f t="shared" si="20"/>
        <v>0.30352546193377378</v>
      </c>
      <c r="BE47" s="45"/>
      <c r="BF47" s="85">
        <f t="shared" si="21"/>
        <v>7.4232034145262027E-2</v>
      </c>
      <c r="BG47" s="85">
        <f t="shared" si="22"/>
        <v>0.5163874041908123</v>
      </c>
      <c r="BH47" s="18">
        <f t="shared" si="45"/>
        <v>3114.2205307729078</v>
      </c>
      <c r="BI47" s="18">
        <f t="shared" si="46"/>
        <v>2.1799543715410383</v>
      </c>
      <c r="BJ47" s="44">
        <f t="shared" si="23"/>
        <v>0.95912116906443579</v>
      </c>
      <c r="BK47" s="90"/>
      <c r="BL47" s="20"/>
      <c r="BM47" s="20"/>
      <c r="BN47" s="20"/>
      <c r="BO47" s="20"/>
      <c r="BP47" s="20"/>
      <c r="BQ47" s="20"/>
      <c r="BR47" s="20"/>
      <c r="BS47" s="20"/>
      <c r="BT47" s="20"/>
      <c r="BU47" s="20"/>
      <c r="BV47" s="44"/>
      <c r="BX47" s="44"/>
      <c r="BY47" s="44"/>
      <c r="CA47" s="20"/>
      <c r="CB47" s="20"/>
    </row>
    <row r="48" spans="1:80" ht="17" x14ac:dyDescent="0.2">
      <c r="A48" s="110" t="s">
        <v>9</v>
      </c>
      <c r="B48" s="17" t="s">
        <v>44</v>
      </c>
      <c r="C48" s="101">
        <f>U4</f>
        <v>432.27665706051874</v>
      </c>
      <c r="D48" s="109" t="s">
        <v>98</v>
      </c>
      <c r="E48" s="95">
        <f>U5</f>
        <v>432.27665706051874</v>
      </c>
      <c r="F48" s="95">
        <f>U6</f>
        <v>4508.3581083461522</v>
      </c>
      <c r="G48" s="85"/>
      <c r="H48" s="33">
        <v>18.999999999999982</v>
      </c>
      <c r="I48" s="86">
        <f t="shared" si="24"/>
        <v>39.236992881958379</v>
      </c>
      <c r="J48" s="86">
        <f t="shared" si="25"/>
        <v>389925.78446502058</v>
      </c>
      <c r="K48" s="85"/>
      <c r="L48" s="87">
        <f t="shared" si="0"/>
        <v>2.1175871723084751E-2</v>
      </c>
      <c r="M48" s="87">
        <f t="shared" si="1"/>
        <v>2.1175871723084751E-2</v>
      </c>
      <c r="N48" s="44">
        <f t="shared" si="2"/>
        <v>-1.6000000000000458</v>
      </c>
      <c r="O48" s="44">
        <f t="shared" si="3"/>
        <v>-1.6000000000000458</v>
      </c>
      <c r="P48" s="44">
        <f t="shared" si="26"/>
        <v>-1.8444027667159893E-14</v>
      </c>
      <c r="Q48" s="45"/>
      <c r="R48" s="88">
        <f t="shared" si="27"/>
        <v>6.8821445415666246E-3</v>
      </c>
      <c r="S48" s="88">
        <f t="shared" si="4"/>
        <v>0.13678548798299695</v>
      </c>
      <c r="T48" s="44">
        <f t="shared" si="28"/>
        <v>0.85980574316934688</v>
      </c>
      <c r="U48" s="75">
        <f t="shared" si="5"/>
        <v>1010.9474817249655</v>
      </c>
      <c r="V48" s="44">
        <f t="shared" si="6"/>
        <v>2.0218949634499324</v>
      </c>
      <c r="W48" s="20">
        <f t="shared" si="7"/>
        <v>12.456672096836131</v>
      </c>
      <c r="X48" s="20">
        <f t="shared" si="29"/>
        <v>12.41935807955705</v>
      </c>
      <c r="Y48" s="44">
        <f t="shared" si="8"/>
        <v>23.3156127550882</v>
      </c>
      <c r="Z48" s="44">
        <f t="shared" si="30"/>
        <v>20.250266235611658</v>
      </c>
      <c r="AA48" s="44">
        <f t="shared" si="9"/>
        <v>0.89731522558977173</v>
      </c>
      <c r="AB48" s="45"/>
      <c r="AC48" s="86">
        <f t="shared" si="31"/>
        <v>888888.88888888888</v>
      </c>
      <c r="AD48" s="86">
        <f t="shared" si="10"/>
        <v>480000</v>
      </c>
      <c r="AE48" s="44">
        <f t="shared" si="11"/>
        <v>0.85941565148286336</v>
      </c>
      <c r="AF48" s="87">
        <f t="shared" si="32"/>
        <v>1.9965306122206551E-3</v>
      </c>
      <c r="AG48" s="87">
        <f t="shared" si="33"/>
        <v>2.0612182040566042E-3</v>
      </c>
      <c r="AH48" s="44">
        <f t="shared" si="34"/>
        <v>-34.186042849915331</v>
      </c>
      <c r="AI48" s="44">
        <f t="shared" si="35"/>
        <v>-2.8936706382526323</v>
      </c>
      <c r="AJ48" s="44">
        <f t="shared" si="36"/>
        <v>0.99577200014453637</v>
      </c>
      <c r="AK48" s="45"/>
      <c r="AL48" s="86">
        <f t="shared" si="12"/>
        <v>40</v>
      </c>
      <c r="AM48" s="86">
        <f t="shared" si="13"/>
        <v>120000</v>
      </c>
      <c r="AN48" s="20"/>
      <c r="AO48" s="87">
        <f t="shared" si="14"/>
        <v>1.1282103896095888E-2</v>
      </c>
      <c r="AP48" s="87">
        <f t="shared" si="37"/>
        <v>1.1293385999991985E-2</v>
      </c>
      <c r="AQ48" s="44">
        <f t="shared" si="38"/>
        <v>3.9960039952915416</v>
      </c>
      <c r="AR48" s="44">
        <f t="shared" si="39"/>
        <v>4.9999999992866861</v>
      </c>
      <c r="AS48" s="44">
        <f t="shared" si="40"/>
        <v>1.3716256092993749E-10</v>
      </c>
      <c r="AT48" s="45"/>
      <c r="AU48" s="89">
        <f t="shared" si="15"/>
        <v>16.583576010105951</v>
      </c>
      <c r="AV48" s="86">
        <f t="shared" si="16"/>
        <v>8240.1369345880339</v>
      </c>
      <c r="AW48" s="18">
        <f t="shared" si="41"/>
        <v>192.94752515575973</v>
      </c>
      <c r="AX48" s="44">
        <f t="shared" si="42"/>
        <v>9.6473762577879878</v>
      </c>
      <c r="AY48" s="44">
        <f t="shared" si="17"/>
        <v>2.2954430769470933E-2</v>
      </c>
      <c r="AZ48" s="89">
        <f t="shared" si="18"/>
        <v>6.128710960136929</v>
      </c>
      <c r="BA48" s="86">
        <f t="shared" si="19"/>
        <v>1218.1068187769265</v>
      </c>
      <c r="BB48" s="44">
        <f t="shared" si="43"/>
        <v>0.25711483888320158</v>
      </c>
      <c r="BC48" s="20">
        <f t="shared" si="44"/>
        <v>5.1422967776640315E-3</v>
      </c>
      <c r="BD48" s="44">
        <f t="shared" si="20"/>
        <v>0.2208583532736495</v>
      </c>
      <c r="BE48" s="45"/>
      <c r="BF48" s="85">
        <f t="shared" si="21"/>
        <v>9.0912608299940523E-2</v>
      </c>
      <c r="BG48" s="85">
        <f t="shared" si="22"/>
        <v>0.63242407875224238</v>
      </c>
      <c r="BH48" s="18">
        <f t="shared" si="45"/>
        <v>3814.0125692872566</v>
      </c>
      <c r="BI48" s="18">
        <f t="shared" si="46"/>
        <v>2.6698087985010805</v>
      </c>
      <c r="BJ48" s="44">
        <f t="shared" si="23"/>
        <v>0.94850524540810022</v>
      </c>
      <c r="BK48" s="90"/>
      <c r="BL48" s="20"/>
      <c r="BM48" s="20"/>
      <c r="BN48" s="20"/>
      <c r="BO48" s="20"/>
      <c r="BP48" s="20"/>
      <c r="BQ48" s="20"/>
      <c r="BR48" s="20"/>
      <c r="BS48" s="20"/>
      <c r="BT48" s="20"/>
      <c r="BU48" s="20"/>
      <c r="BV48" s="44"/>
      <c r="BX48" s="44"/>
      <c r="BY48" s="44"/>
      <c r="CA48" s="20"/>
      <c r="CB48" s="20"/>
    </row>
    <row r="49" spans="1:80" ht="17" x14ac:dyDescent="0.2">
      <c r="A49" s="110" t="s">
        <v>10</v>
      </c>
      <c r="B49" s="17" t="s">
        <v>44</v>
      </c>
      <c r="C49" s="101">
        <f>V4</f>
        <v>9.0167162166923021</v>
      </c>
      <c r="D49" s="109" t="s">
        <v>103</v>
      </c>
      <c r="E49" s="101">
        <f>V5</f>
        <v>0.86455331412103742</v>
      </c>
      <c r="F49" s="101">
        <f>V6</f>
        <v>9.0167162166923021</v>
      </c>
      <c r="G49" s="85"/>
      <c r="H49" s="33">
        <v>23.999999999999979</v>
      </c>
      <c r="I49" s="86">
        <f t="shared" si="24"/>
        <v>39.236992881958379</v>
      </c>
      <c r="J49" s="86">
        <f t="shared" si="25"/>
        <v>389925.78446502058</v>
      </c>
      <c r="K49" s="85"/>
      <c r="L49" s="87">
        <f t="shared" si="0"/>
        <v>2.1175871723084751E-2</v>
      </c>
      <c r="M49" s="87">
        <f t="shared" si="1"/>
        <v>2.1175871723084751E-2</v>
      </c>
      <c r="N49" s="44">
        <f t="shared" si="2"/>
        <v>-1.6000000000000458</v>
      </c>
      <c r="O49" s="44">
        <f t="shared" si="3"/>
        <v>-1.6000000000000458</v>
      </c>
      <c r="P49" s="44">
        <f t="shared" si="26"/>
        <v>-1.8444027667159893E-14</v>
      </c>
      <c r="Q49" s="45"/>
      <c r="R49" s="88">
        <f t="shared" si="27"/>
        <v>7.8099833778403176E-3</v>
      </c>
      <c r="S49" s="88">
        <f t="shared" si="4"/>
        <v>0.15522667113786026</v>
      </c>
      <c r="T49" s="44">
        <f t="shared" si="28"/>
        <v>0.82629908860838197</v>
      </c>
      <c r="U49" s="75">
        <f t="shared" si="5"/>
        <v>1147.2416745179564</v>
      </c>
      <c r="V49" s="44">
        <f t="shared" si="6"/>
        <v>2.2944833490359144</v>
      </c>
      <c r="W49" s="20">
        <f t="shared" si="7"/>
        <v>12.45745682409135</v>
      </c>
      <c r="X49" s="20">
        <f t="shared" si="29"/>
        <v>12.420140456158247</v>
      </c>
      <c r="Y49" s="44">
        <f t="shared" si="8"/>
        <v>23.380078099104473</v>
      </c>
      <c r="Z49" s="44">
        <f t="shared" si="30"/>
        <v>20.314538473400034</v>
      </c>
      <c r="AA49" s="44">
        <f t="shared" si="9"/>
        <v>0.87634139230556696</v>
      </c>
      <c r="AB49" s="45"/>
      <c r="AC49" s="86">
        <f t="shared" si="31"/>
        <v>888888.88888888888</v>
      </c>
      <c r="AD49" s="86">
        <f t="shared" si="10"/>
        <v>480000</v>
      </c>
      <c r="AE49" s="44">
        <f t="shared" si="11"/>
        <v>0.82582557186741978</v>
      </c>
      <c r="AF49" s="87">
        <f t="shared" si="32"/>
        <v>1.9965381846143294E-3</v>
      </c>
      <c r="AG49" s="87">
        <f t="shared" si="33"/>
        <v>2.0612260217958336E-3</v>
      </c>
      <c r="AH49" s="44">
        <f t="shared" si="34"/>
        <v>-34.182379733780245</v>
      </c>
      <c r="AI49" s="44">
        <f t="shared" si="35"/>
        <v>-2.8898888371547971</v>
      </c>
      <c r="AJ49" s="44">
        <f t="shared" si="36"/>
        <v>0.99466234277210519</v>
      </c>
      <c r="AK49" s="45"/>
      <c r="AL49" s="86">
        <f t="shared" si="12"/>
        <v>40</v>
      </c>
      <c r="AM49" s="86">
        <f t="shared" si="13"/>
        <v>120000</v>
      </c>
      <c r="AN49" s="20"/>
      <c r="AO49" s="87">
        <f t="shared" si="14"/>
        <v>1.1282103896103873E-2</v>
      </c>
      <c r="AP49" s="87">
        <f t="shared" si="37"/>
        <v>1.1293385999999978E-2</v>
      </c>
      <c r="AQ49" s="44">
        <f t="shared" si="38"/>
        <v>3.9960039960020843</v>
      </c>
      <c r="AR49" s="44">
        <f t="shared" si="39"/>
        <v>4.9999999999981171</v>
      </c>
      <c r="AS49" s="44">
        <f t="shared" si="40"/>
        <v>3.6206871846233124E-13</v>
      </c>
      <c r="AT49" s="45"/>
      <c r="AU49" s="89">
        <f t="shared" si="15"/>
        <v>16.821781427059555</v>
      </c>
      <c r="AV49" s="86">
        <f t="shared" si="16"/>
        <v>8358.4977304177264</v>
      </c>
      <c r="AW49" s="18">
        <f t="shared" si="41"/>
        <v>195.71901097111615</v>
      </c>
      <c r="AX49" s="44">
        <f t="shared" si="42"/>
        <v>9.7859505485558103</v>
      </c>
      <c r="AY49" s="44">
        <f t="shared" si="17"/>
        <v>8.5018925844632578E-3</v>
      </c>
      <c r="AZ49" s="89">
        <f t="shared" si="18"/>
        <v>5.7688230807068885</v>
      </c>
      <c r="BA49" s="86">
        <f t="shared" si="19"/>
        <v>1146.5776044314835</v>
      </c>
      <c r="BB49" s="44">
        <f t="shared" si="43"/>
        <v>0.24201663719975908</v>
      </c>
      <c r="BC49" s="20">
        <f t="shared" si="44"/>
        <v>4.8403327439951816E-3</v>
      </c>
      <c r="BD49" s="44">
        <f t="shared" si="20"/>
        <v>0.1484267595257712</v>
      </c>
      <c r="BE49" s="45"/>
      <c r="BF49" s="85">
        <f t="shared" si="21"/>
        <v>0.11150393419360172</v>
      </c>
      <c r="BG49" s="85">
        <f t="shared" si="22"/>
        <v>0.77566548995036833</v>
      </c>
      <c r="BH49" s="18">
        <f t="shared" si="45"/>
        <v>4677.8704790461315</v>
      </c>
      <c r="BI49" s="18">
        <f t="shared" si="46"/>
        <v>3.2745093353322958</v>
      </c>
      <c r="BJ49" s="44">
        <f t="shared" si="23"/>
        <v>0.93540042409662727</v>
      </c>
      <c r="BK49" s="90"/>
      <c r="BL49" s="20"/>
      <c r="BM49" s="20"/>
      <c r="BN49" s="20"/>
      <c r="BO49" s="20"/>
      <c r="BP49" s="20"/>
      <c r="BQ49" s="20"/>
      <c r="BR49" s="20"/>
      <c r="BS49" s="20"/>
      <c r="BT49" s="20"/>
      <c r="BU49" s="20"/>
      <c r="BV49" s="44"/>
      <c r="BX49" s="44"/>
      <c r="BY49" s="44"/>
      <c r="CA49" s="20"/>
      <c r="CB49" s="20"/>
    </row>
    <row r="50" spans="1:80" x14ac:dyDescent="0.2">
      <c r="A50" s="94" t="s">
        <v>104</v>
      </c>
      <c r="B50" s="17" t="s">
        <v>43</v>
      </c>
      <c r="C50" s="95">
        <f>Y4</f>
        <v>23</v>
      </c>
      <c r="D50" s="109" t="s">
        <v>98</v>
      </c>
      <c r="E50" s="108">
        <f>Y5</f>
        <v>23</v>
      </c>
      <c r="F50" s="108">
        <f>Y6</f>
        <v>26</v>
      </c>
      <c r="G50" s="85"/>
      <c r="H50" s="33">
        <v>32.3333333333333</v>
      </c>
      <c r="I50" s="86">
        <f t="shared" si="24"/>
        <v>39.236992881958379</v>
      </c>
      <c r="J50" s="86">
        <f t="shared" si="25"/>
        <v>389925.78446502058</v>
      </c>
      <c r="K50" s="85"/>
      <c r="L50" s="87">
        <f t="shared" si="0"/>
        <v>2.1175871723084751E-2</v>
      </c>
      <c r="M50" s="87">
        <f t="shared" si="1"/>
        <v>2.1175871723084751E-2</v>
      </c>
      <c r="N50" s="44">
        <f t="shared" si="2"/>
        <v>-1.6000000000000458</v>
      </c>
      <c r="O50" s="44">
        <f t="shared" si="3"/>
        <v>-1.6000000000000458</v>
      </c>
      <c r="P50" s="44">
        <f t="shared" si="26"/>
        <v>-1.8444027667159893E-14</v>
      </c>
      <c r="Q50" s="45"/>
      <c r="R50" s="88">
        <f t="shared" si="27"/>
        <v>9.2767286586400814E-3</v>
      </c>
      <c r="S50" s="88">
        <f t="shared" si="4"/>
        <v>0.18437884423872958</v>
      </c>
      <c r="T50" s="44">
        <f t="shared" si="28"/>
        <v>0.77333113174848378</v>
      </c>
      <c r="U50" s="75">
        <f t="shared" si="5"/>
        <v>1362.6981269363416</v>
      </c>
      <c r="V50" s="44">
        <f t="shared" si="6"/>
        <v>2.7253962538726841</v>
      </c>
      <c r="W50" s="20">
        <f t="shared" si="7"/>
        <v>12.458689371104315</v>
      </c>
      <c r="X50" s="20">
        <f t="shared" si="29"/>
        <v>12.421369311071093</v>
      </c>
      <c r="Y50" s="44">
        <f t="shared" si="8"/>
        <v>23.481331836219475</v>
      </c>
      <c r="Z50" s="44">
        <f t="shared" si="30"/>
        <v>20.415488904490296</v>
      </c>
      <c r="AA50" s="44">
        <f t="shared" si="9"/>
        <v>0.84339843614729915</v>
      </c>
      <c r="AB50" s="45"/>
      <c r="AC50" s="86">
        <f t="shared" si="31"/>
        <v>888888.88888888888</v>
      </c>
      <c r="AD50" s="86">
        <f t="shared" si="10"/>
        <v>480000</v>
      </c>
      <c r="AE50" s="44">
        <f t="shared" si="11"/>
        <v>0.7727341520247768</v>
      </c>
      <c r="AF50" s="87">
        <f t="shared" si="32"/>
        <v>1.9965507865230079E-3</v>
      </c>
      <c r="AG50" s="87">
        <f t="shared" si="33"/>
        <v>2.0612390320063536E-3</v>
      </c>
      <c r="AH50" s="44">
        <f t="shared" si="34"/>
        <v>-34.176283609225976</v>
      </c>
      <c r="AI50" s="44">
        <f t="shared" si="35"/>
        <v>-2.8835951981648344</v>
      </c>
      <c r="AJ50" s="44">
        <f t="shared" si="36"/>
        <v>0.99281566106570085</v>
      </c>
      <c r="AK50" s="45"/>
      <c r="AL50" s="86">
        <f t="shared" si="12"/>
        <v>40</v>
      </c>
      <c r="AM50" s="86">
        <f t="shared" si="13"/>
        <v>120000</v>
      </c>
      <c r="AN50" s="20"/>
      <c r="AO50" s="87">
        <f t="shared" si="14"/>
        <v>1.1282103896103894E-2</v>
      </c>
      <c r="AP50" s="87">
        <f t="shared" si="37"/>
        <v>1.1293385999999999E-2</v>
      </c>
      <c r="AQ50" s="44">
        <f t="shared" si="38"/>
        <v>3.9960039960038607</v>
      </c>
      <c r="AR50" s="44">
        <f t="shared" si="39"/>
        <v>4.9999999999998934</v>
      </c>
      <c r="AS50" s="44">
        <f t="shared" si="40"/>
        <v>2.0494455762018751E-14</v>
      </c>
      <c r="AT50" s="45"/>
      <c r="AU50" s="89">
        <f t="shared" si="15"/>
        <v>16.935141523126799</v>
      </c>
      <c r="AV50" s="86">
        <f t="shared" si="16"/>
        <v>8414.8247080215242</v>
      </c>
      <c r="AW50" s="18">
        <f t="shared" si="41"/>
        <v>197.03793940815922</v>
      </c>
      <c r="AX50" s="44">
        <f t="shared" si="42"/>
        <v>9.851896970407962</v>
      </c>
      <c r="AY50" s="44">
        <f t="shared" si="17"/>
        <v>1.6240426261349187E-3</v>
      </c>
      <c r="AZ50" s="89">
        <f t="shared" si="18"/>
        <v>5.411602346190346</v>
      </c>
      <c r="BA50" s="86">
        <f t="shared" si="19"/>
        <v>1075.5784962416301</v>
      </c>
      <c r="BB50" s="44">
        <f t="shared" si="43"/>
        <v>0.22703032895348021</v>
      </c>
      <c r="BC50" s="20">
        <f t="shared" si="44"/>
        <v>4.5406065790696047E-3</v>
      </c>
      <c r="BD50" s="44">
        <f t="shared" si="20"/>
        <v>7.653195950694866E-2</v>
      </c>
      <c r="BE50" s="45"/>
      <c r="BF50" s="85">
        <f t="shared" si="21"/>
        <v>0.14519254137381798</v>
      </c>
      <c r="BG50" s="85">
        <f t="shared" si="22"/>
        <v>1.0100167725590801</v>
      </c>
      <c r="BH50" s="18">
        <f t="shared" si="45"/>
        <v>6091.1922792876703</v>
      </c>
      <c r="BI50" s="18">
        <f t="shared" si="46"/>
        <v>4.2638345955013746</v>
      </c>
      <c r="BJ50" s="44">
        <f t="shared" si="23"/>
        <v>0.91396017398310547</v>
      </c>
      <c r="BK50" s="90"/>
      <c r="BL50" s="20"/>
      <c r="BM50" s="20"/>
      <c r="BN50" s="20"/>
      <c r="BO50" s="20"/>
      <c r="BP50" s="20"/>
      <c r="BQ50" s="20"/>
      <c r="BR50" s="20"/>
      <c r="BS50" s="20"/>
      <c r="BT50" s="20"/>
      <c r="BU50" s="20"/>
      <c r="BV50" s="44"/>
      <c r="BX50" s="44"/>
      <c r="BY50" s="44"/>
      <c r="CA50" s="20"/>
      <c r="CB50" s="20"/>
    </row>
    <row r="51" spans="1:80" ht="17" x14ac:dyDescent="0.2">
      <c r="A51" s="111" t="s">
        <v>105</v>
      </c>
      <c r="B51" s="103" t="s">
        <v>43</v>
      </c>
      <c r="C51" s="16">
        <v>23</v>
      </c>
      <c r="D51" s="112" t="s">
        <v>103</v>
      </c>
      <c r="E51" s="106">
        <f>Z5</f>
        <v>19.935598899950605</v>
      </c>
      <c r="F51" s="106">
        <f>Z6</f>
        <v>23</v>
      </c>
      <c r="G51" s="85"/>
      <c r="H51" s="33">
        <v>48.999999999999957</v>
      </c>
      <c r="I51" s="86">
        <f t="shared" si="24"/>
        <v>39.236992881958379</v>
      </c>
      <c r="J51" s="86">
        <f t="shared" si="25"/>
        <v>389925.78446502058</v>
      </c>
      <c r="K51" s="85"/>
      <c r="L51" s="87">
        <f t="shared" si="0"/>
        <v>2.1175871723084751E-2</v>
      </c>
      <c r="M51" s="87">
        <f t="shared" si="1"/>
        <v>2.1175871723084751E-2</v>
      </c>
      <c r="N51" s="44">
        <f t="shared" si="2"/>
        <v>-1.6000000000000458</v>
      </c>
      <c r="O51" s="44">
        <f t="shared" si="3"/>
        <v>-1.6000000000000458</v>
      </c>
      <c r="P51" s="44">
        <f t="shared" si="26"/>
        <v>-1.8444027667159893E-14</v>
      </c>
      <c r="Q51" s="45"/>
      <c r="R51" s="88">
        <f t="shared" si="27"/>
        <v>1.1934179540595048E-2</v>
      </c>
      <c r="S51" s="88">
        <f t="shared" si="4"/>
        <v>0.23719678688489049</v>
      </c>
      <c r="T51" s="44">
        <f t="shared" si="28"/>
        <v>0.67736372314980875</v>
      </c>
      <c r="U51" s="75">
        <f t="shared" si="5"/>
        <v>1753.0623892231968</v>
      </c>
      <c r="V51" s="44">
        <f t="shared" si="6"/>
        <v>3.5061247784463943</v>
      </c>
      <c r="W51" s="20">
        <f t="shared" si="7"/>
        <v>12.460969892698653</v>
      </c>
      <c r="X51" s="20">
        <f t="shared" si="29"/>
        <v>12.42364300135274</v>
      </c>
      <c r="Y51" s="44">
        <f t="shared" si="8"/>
        <v>23.668676685194345</v>
      </c>
      <c r="Z51" s="44">
        <f t="shared" si="30"/>
        <v>20.602272561127677</v>
      </c>
      <c r="AA51" s="44">
        <f t="shared" si="9"/>
        <v>0.78244569186250257</v>
      </c>
      <c r="AB51" s="45"/>
      <c r="AC51" s="86">
        <f t="shared" si="31"/>
        <v>888888.88888888888</v>
      </c>
      <c r="AD51" s="86">
        <f t="shared" si="10"/>
        <v>480000</v>
      </c>
      <c r="AE51" s="44">
        <f t="shared" si="11"/>
        <v>0.67657144953042636</v>
      </c>
      <c r="AF51" s="87">
        <f t="shared" si="32"/>
        <v>1.9965759201940117E-3</v>
      </c>
      <c r="AG51" s="87">
        <f t="shared" si="33"/>
        <v>2.0612649800082978E-3</v>
      </c>
      <c r="AH51" s="44">
        <f t="shared" si="34"/>
        <v>-34.164125293144501</v>
      </c>
      <c r="AI51" s="44">
        <f t="shared" si="35"/>
        <v>-2.8710429526422887</v>
      </c>
      <c r="AJ51" s="44">
        <f t="shared" si="36"/>
        <v>0.98913257688852618</v>
      </c>
      <c r="AK51" s="45"/>
      <c r="AL51" s="86">
        <f t="shared" si="12"/>
        <v>40</v>
      </c>
      <c r="AM51" s="86">
        <f t="shared" si="13"/>
        <v>120000</v>
      </c>
      <c r="AN51" s="20"/>
      <c r="AO51" s="87">
        <f t="shared" si="14"/>
        <v>1.1282103896103894E-2</v>
      </c>
      <c r="AP51" s="87">
        <f t="shared" si="37"/>
        <v>1.1293385999999999E-2</v>
      </c>
      <c r="AQ51" s="44">
        <f t="shared" si="38"/>
        <v>3.9960039960038607</v>
      </c>
      <c r="AR51" s="44">
        <f t="shared" si="39"/>
        <v>4.9999999999998934</v>
      </c>
      <c r="AS51" s="44">
        <f t="shared" si="40"/>
        <v>2.0494455762018751E-14</v>
      </c>
      <c r="AT51" s="45"/>
      <c r="AU51" s="89">
        <f t="shared" si="15"/>
        <v>16.96093212908924</v>
      </c>
      <c r="AV51" s="86">
        <f t="shared" si="16"/>
        <v>8427.639683791951</v>
      </c>
      <c r="AW51" s="18">
        <f t="shared" si="41"/>
        <v>197.33800940450308</v>
      </c>
      <c r="AX51" s="44">
        <f t="shared" si="42"/>
        <v>9.8669004702251559</v>
      </c>
      <c r="AY51" s="44">
        <f t="shared" si="17"/>
        <v>5.9259917774828841E-5</v>
      </c>
      <c r="AZ51" s="89">
        <f t="shared" si="18"/>
        <v>5.1324393115951628</v>
      </c>
      <c r="BA51" s="86">
        <f t="shared" si="19"/>
        <v>1020.0936808860607</v>
      </c>
      <c r="BB51" s="44">
        <f t="shared" si="43"/>
        <v>0.21531873753907904</v>
      </c>
      <c r="BC51" s="20">
        <f t="shared" si="44"/>
        <v>4.3063747507815801E-3</v>
      </c>
      <c r="BD51" s="44">
        <f t="shared" si="20"/>
        <v>2.034717344733955E-2</v>
      </c>
      <c r="BE51" s="45"/>
      <c r="BF51" s="85">
        <f t="shared" si="21"/>
        <v>0.21027093180138801</v>
      </c>
      <c r="BG51" s="85">
        <f t="shared" si="22"/>
        <v>1.4627278088220397</v>
      </c>
      <c r="BH51" s="18">
        <f t="shared" si="45"/>
        <v>8821.3944340959151</v>
      </c>
      <c r="BI51" s="18">
        <f t="shared" si="46"/>
        <v>6.1749761038671416</v>
      </c>
      <c r="BJ51" s="44">
        <f t="shared" si="23"/>
        <v>0.87254270129602096</v>
      </c>
      <c r="BK51" s="90"/>
      <c r="BL51" s="20"/>
      <c r="BM51" s="20"/>
      <c r="BN51" s="20"/>
      <c r="BO51" s="20"/>
      <c r="BP51" s="20"/>
      <c r="BQ51" s="20"/>
      <c r="BR51" s="20"/>
      <c r="BS51" s="20"/>
      <c r="BT51" s="20"/>
      <c r="BU51" s="20"/>
      <c r="BV51" s="44"/>
      <c r="BX51" s="44"/>
      <c r="BY51" s="44"/>
      <c r="CA51" s="20"/>
      <c r="CB51" s="20"/>
    </row>
    <row r="52" spans="1:80" ht="17" x14ac:dyDescent="0.2">
      <c r="A52" s="113" t="s">
        <v>15</v>
      </c>
      <c r="B52" s="17" t="s">
        <v>42</v>
      </c>
      <c r="C52" s="114">
        <v>888889</v>
      </c>
      <c r="D52" s="96" t="s">
        <v>98</v>
      </c>
      <c r="E52" s="95">
        <v>888889</v>
      </c>
      <c r="F52" s="95">
        <v>888889</v>
      </c>
      <c r="G52" s="85"/>
      <c r="H52" s="33">
        <v>54.555555555555507</v>
      </c>
      <c r="I52" s="86">
        <f t="shared" si="24"/>
        <v>39.236992881958379</v>
      </c>
      <c r="J52" s="86">
        <f t="shared" si="25"/>
        <v>389925.78446502058</v>
      </c>
      <c r="K52" s="85"/>
      <c r="L52" s="87">
        <f t="shared" si="0"/>
        <v>2.1175871723084751E-2</v>
      </c>
      <c r="M52" s="87">
        <f t="shared" si="1"/>
        <v>2.1175871723084751E-2</v>
      </c>
      <c r="N52" s="44">
        <f t="shared" si="2"/>
        <v>-1.6000000000000458</v>
      </c>
      <c r="O52" s="44">
        <f t="shared" si="3"/>
        <v>-1.6000000000000458</v>
      </c>
      <c r="P52" s="44">
        <f t="shared" si="26"/>
        <v>-1.8444027667159893E-14</v>
      </c>
      <c r="Q52" s="45"/>
      <c r="R52" s="88">
        <f t="shared" si="27"/>
        <v>1.2744579249967129E-2</v>
      </c>
      <c r="S52" s="88">
        <f t="shared" si="4"/>
        <v>0.25330381849956002</v>
      </c>
      <c r="T52" s="44">
        <f t="shared" si="28"/>
        <v>0.64809809849963851</v>
      </c>
      <c r="U52" s="75">
        <f t="shared" si="5"/>
        <v>1872.1054491926775</v>
      </c>
      <c r="V52" s="44">
        <f t="shared" si="6"/>
        <v>3.7442108983853553</v>
      </c>
      <c r="W52" s="20">
        <f t="shared" si="7"/>
        <v>12.461689457491321</v>
      </c>
      <c r="X52" s="20">
        <f t="shared" si="29"/>
        <v>12.424360410685837</v>
      </c>
      <c r="Y52" s="44">
        <f t="shared" si="8"/>
        <v>23.727788932911942</v>
      </c>
      <c r="Z52" s="44">
        <f t="shared" si="30"/>
        <v>20.661207737841636</v>
      </c>
      <c r="AA52" s="44">
        <f t="shared" si="9"/>
        <v>0.76321349124980331</v>
      </c>
      <c r="AB52" s="45"/>
      <c r="AC52" s="86">
        <f t="shared" si="31"/>
        <v>888888.88888888888</v>
      </c>
      <c r="AD52" s="86">
        <f t="shared" si="10"/>
        <v>480000</v>
      </c>
      <c r="AE52" s="44">
        <f t="shared" si="11"/>
        <v>0.6472541652379088</v>
      </c>
      <c r="AF52" s="87">
        <f t="shared" si="32"/>
        <v>1.9965842773473968E-3</v>
      </c>
      <c r="AG52" s="87">
        <f t="shared" si="33"/>
        <v>2.0612736079334525E-3</v>
      </c>
      <c r="AH52" s="44">
        <f t="shared" si="34"/>
        <v>-34.160082552536331</v>
      </c>
      <c r="AI52" s="44">
        <f t="shared" si="35"/>
        <v>-2.8668692272385554</v>
      </c>
      <c r="AJ52" s="44">
        <f t="shared" si="36"/>
        <v>0.9879079209521241</v>
      </c>
      <c r="AK52" s="45"/>
      <c r="AL52" s="86">
        <f t="shared" si="12"/>
        <v>40</v>
      </c>
      <c r="AM52" s="86">
        <f t="shared" si="13"/>
        <v>120000</v>
      </c>
      <c r="AN52" s="20"/>
      <c r="AO52" s="87">
        <f t="shared" si="14"/>
        <v>1.1282103896103894E-2</v>
      </c>
      <c r="AP52" s="87">
        <f t="shared" si="37"/>
        <v>1.1293385999999999E-2</v>
      </c>
      <c r="AQ52" s="44">
        <f t="shared" si="38"/>
        <v>3.9960039960038607</v>
      </c>
      <c r="AR52" s="44">
        <f t="shared" si="39"/>
        <v>4.9999999999998934</v>
      </c>
      <c r="AS52" s="44">
        <f t="shared" si="40"/>
        <v>2.0494455762018751E-14</v>
      </c>
      <c r="AT52" s="45"/>
      <c r="AU52" s="89">
        <f t="shared" si="15"/>
        <v>16.961584886868817</v>
      </c>
      <c r="AV52" s="86">
        <f t="shared" si="16"/>
        <v>8427.9640296076886</v>
      </c>
      <c r="AW52" s="18">
        <f t="shared" si="41"/>
        <v>197.34560414751982</v>
      </c>
      <c r="AX52" s="44">
        <f t="shared" si="42"/>
        <v>9.8672802073759946</v>
      </c>
      <c r="AY52" s="44">
        <f t="shared" si="17"/>
        <v>1.965541651885307E-5</v>
      </c>
      <c r="AZ52" s="89">
        <f t="shared" si="18"/>
        <v>5.0963486810218939</v>
      </c>
      <c r="BA52" s="86">
        <f t="shared" si="19"/>
        <v>1012.9205178047532</v>
      </c>
      <c r="BB52" s="44">
        <f t="shared" si="43"/>
        <v>0.21380464481625433</v>
      </c>
      <c r="BC52" s="20">
        <f t="shared" si="44"/>
        <v>4.2760928963250858E-3</v>
      </c>
      <c r="BD52" s="44">
        <f t="shared" si="20"/>
        <v>1.3083517066558338E-2</v>
      </c>
      <c r="BE52" s="45"/>
      <c r="BF52" s="85">
        <f t="shared" si="21"/>
        <v>0.23130164016613541</v>
      </c>
      <c r="BG52" s="85">
        <f t="shared" si="22"/>
        <v>1.6090257383589623</v>
      </c>
      <c r="BH52" s="18">
        <f t="shared" si="45"/>
        <v>9703.6855435922625</v>
      </c>
      <c r="BI52" s="18">
        <f t="shared" si="46"/>
        <v>6.7925798805145892</v>
      </c>
      <c r="BJ52" s="44">
        <f t="shared" si="23"/>
        <v>0.85915824627855386</v>
      </c>
      <c r="BK52" s="90"/>
      <c r="BL52" s="20"/>
      <c r="BM52" s="20"/>
      <c r="BN52" s="20"/>
      <c r="BO52" s="20"/>
      <c r="BP52" s="20"/>
      <c r="BQ52" s="20"/>
      <c r="BR52" s="20"/>
      <c r="BS52" s="20"/>
      <c r="BT52" s="20"/>
      <c r="BU52" s="20"/>
      <c r="BV52" s="44"/>
      <c r="BX52" s="44"/>
      <c r="BY52" s="44"/>
      <c r="CA52" s="20"/>
      <c r="CB52" s="20"/>
    </row>
    <row r="53" spans="1:80" ht="17" x14ac:dyDescent="0.2">
      <c r="A53" s="113" t="s">
        <v>16</v>
      </c>
      <c r="B53" s="17" t="s">
        <v>42</v>
      </c>
      <c r="C53" s="16">
        <v>480000</v>
      </c>
      <c r="D53" s="109" t="s">
        <v>98</v>
      </c>
      <c r="E53" s="95">
        <v>480000</v>
      </c>
      <c r="F53" s="95">
        <v>480000</v>
      </c>
      <c r="G53" s="85"/>
      <c r="H53" s="33">
        <v>61.499999999999943</v>
      </c>
      <c r="I53" s="86">
        <f t="shared" si="24"/>
        <v>39.236992881958379</v>
      </c>
      <c r="J53" s="86">
        <f t="shared" si="25"/>
        <v>389925.78446502058</v>
      </c>
      <c r="K53" s="85"/>
      <c r="L53" s="87">
        <f t="shared" si="0"/>
        <v>2.1175871723084751E-2</v>
      </c>
      <c r="M53" s="87">
        <f t="shared" si="1"/>
        <v>2.1175871723084751E-2</v>
      </c>
      <c r="N53" s="44">
        <f t="shared" si="2"/>
        <v>-1.6000000000000458</v>
      </c>
      <c r="O53" s="44">
        <f t="shared" si="3"/>
        <v>-1.6000000000000458</v>
      </c>
      <c r="P53" s="44">
        <f t="shared" si="26"/>
        <v>-1.8444027667159893E-14</v>
      </c>
      <c r="Q53" s="45"/>
      <c r="R53" s="88">
        <f t="shared" si="27"/>
        <v>1.3708519931156314E-2</v>
      </c>
      <c r="S53" s="88">
        <f t="shared" si="4"/>
        <v>0.27246254085227462</v>
      </c>
      <c r="T53" s="44">
        <f t="shared" si="28"/>
        <v>0.61328771316204966</v>
      </c>
      <c r="U53" s="75">
        <f t="shared" si="5"/>
        <v>2013.7027955277813</v>
      </c>
      <c r="V53" s="44">
        <f t="shared" si="6"/>
        <v>4.0274055910555635</v>
      </c>
      <c r="W53" s="20">
        <f t="shared" si="7"/>
        <v>12.462565120698804</v>
      </c>
      <c r="X53" s="20">
        <f t="shared" si="29"/>
        <v>12.425233450840244</v>
      </c>
      <c r="Y53" s="44">
        <f t="shared" si="8"/>
        <v>23.799724665406696</v>
      </c>
      <c r="Z53" s="44">
        <f t="shared" si="30"/>
        <v>20.73292798652604</v>
      </c>
      <c r="AA53" s="44">
        <f t="shared" si="9"/>
        <v>0.73980916317952194</v>
      </c>
      <c r="AB53" s="45"/>
      <c r="AC53" s="86">
        <f t="shared" si="31"/>
        <v>888888.88888888888</v>
      </c>
      <c r="AD53" s="86">
        <f t="shared" si="10"/>
        <v>480000</v>
      </c>
      <c r="AE53" s="44">
        <f t="shared" si="11"/>
        <v>0.61238752821690012</v>
      </c>
      <c r="AF53" s="87">
        <f t="shared" si="32"/>
        <v>1.9965947092400434E-3</v>
      </c>
      <c r="AG53" s="87">
        <f t="shared" si="33"/>
        <v>2.0612843778194207E-3</v>
      </c>
      <c r="AH53" s="44">
        <f t="shared" si="34"/>
        <v>-34.155036164839615</v>
      </c>
      <c r="AI53" s="44">
        <f t="shared" si="35"/>
        <v>-2.8616593365804466</v>
      </c>
      <c r="AJ53" s="44">
        <f t="shared" si="36"/>
        <v>0.98637923305216024</v>
      </c>
      <c r="AK53" s="45"/>
      <c r="AL53" s="86">
        <f t="shared" si="12"/>
        <v>40</v>
      </c>
      <c r="AM53" s="86">
        <f t="shared" si="13"/>
        <v>120000</v>
      </c>
      <c r="AN53" s="20"/>
      <c r="AO53" s="87">
        <f t="shared" si="14"/>
        <v>1.1282103896103894E-2</v>
      </c>
      <c r="AP53" s="87">
        <f t="shared" si="37"/>
        <v>1.1293385999999999E-2</v>
      </c>
      <c r="AQ53" s="44">
        <f t="shared" si="38"/>
        <v>3.9960039960038607</v>
      </c>
      <c r="AR53" s="44">
        <f t="shared" si="39"/>
        <v>4.9999999999998934</v>
      </c>
      <c r="AS53" s="44">
        <f t="shared" si="40"/>
        <v>2.0494455762018751E-14</v>
      </c>
      <c r="AT53" s="45"/>
      <c r="AU53" s="89">
        <f t="shared" si="15"/>
        <v>16.961827301791772</v>
      </c>
      <c r="AV53" s="86">
        <f t="shared" si="16"/>
        <v>8428.0844820456241</v>
      </c>
      <c r="AW53" s="18">
        <f t="shared" si="41"/>
        <v>197.34842461033296</v>
      </c>
      <c r="AX53" s="44">
        <f t="shared" si="42"/>
        <v>9.8674212305166478</v>
      </c>
      <c r="AY53" s="44">
        <f t="shared" si="17"/>
        <v>4.9474767273337052E-6</v>
      </c>
      <c r="AZ53" s="89">
        <f t="shared" si="18"/>
        <v>5.0687728184360452</v>
      </c>
      <c r="BA53" s="86">
        <f t="shared" si="19"/>
        <v>1007.4397003101839</v>
      </c>
      <c r="BB53" s="44">
        <f t="shared" si="43"/>
        <v>0.21264776802569554</v>
      </c>
      <c r="BC53" s="20">
        <f t="shared" si="44"/>
        <v>4.2529553605139105E-3</v>
      </c>
      <c r="BD53" s="44">
        <f t="shared" si="20"/>
        <v>7.5335561197525181E-3</v>
      </c>
      <c r="BE53" s="45"/>
      <c r="BF53" s="85">
        <f t="shared" si="21"/>
        <v>0.25713694726426417</v>
      </c>
      <c r="BG53" s="85">
        <f t="shared" si="22"/>
        <v>1.7887463579336398</v>
      </c>
      <c r="BH53" s="18">
        <f t="shared" si="45"/>
        <v>10787.541653831307</v>
      </c>
      <c r="BI53" s="18">
        <f t="shared" si="46"/>
        <v>7.5512791576819165</v>
      </c>
      <c r="BJ53" s="44">
        <f t="shared" si="23"/>
        <v>0.8427160276085931</v>
      </c>
      <c r="BK53" s="90"/>
      <c r="BL53" s="20"/>
      <c r="BM53" s="20"/>
      <c r="BN53" s="20"/>
      <c r="BO53" s="20"/>
      <c r="BP53" s="20"/>
      <c r="BQ53" s="20"/>
      <c r="BR53" s="20"/>
      <c r="BS53" s="20"/>
      <c r="BT53" s="20"/>
      <c r="BU53" s="20"/>
      <c r="BV53" s="44"/>
      <c r="BX53" s="44"/>
      <c r="BY53" s="44"/>
      <c r="CA53" s="20"/>
      <c r="CB53" s="20"/>
    </row>
    <row r="54" spans="1:80" ht="17" x14ac:dyDescent="0.2">
      <c r="A54" s="110" t="s">
        <v>106</v>
      </c>
      <c r="B54" s="17" t="s">
        <v>43</v>
      </c>
      <c r="C54" s="16">
        <v>-34.200000000000003</v>
      </c>
      <c r="D54" s="109" t="s">
        <v>107</v>
      </c>
      <c r="E54" s="100">
        <v>-34.200000000000003</v>
      </c>
      <c r="F54" s="101">
        <v>-30.9</v>
      </c>
      <c r="G54" s="85"/>
      <c r="H54" s="33">
        <v>70.42857142857136</v>
      </c>
      <c r="I54" s="86">
        <f t="shared" si="24"/>
        <v>39.236992881958379</v>
      </c>
      <c r="J54" s="86">
        <f t="shared" si="25"/>
        <v>389925.78446502058</v>
      </c>
      <c r="K54" s="85"/>
      <c r="L54" s="87">
        <f t="shared" si="0"/>
        <v>2.1175871723084751E-2</v>
      </c>
      <c r="M54" s="87">
        <f t="shared" si="1"/>
        <v>2.1175871723084751E-2</v>
      </c>
      <c r="N54" s="44">
        <f t="shared" si="2"/>
        <v>-1.6000000000000458</v>
      </c>
      <c r="O54" s="44">
        <f t="shared" si="3"/>
        <v>-1.6000000000000458</v>
      </c>
      <c r="P54" s="44">
        <f t="shared" si="26"/>
        <v>-1.8444027667159893E-14</v>
      </c>
      <c r="Q54" s="45"/>
      <c r="R54" s="88">
        <f t="shared" si="27"/>
        <v>1.4872187952832568E-2</v>
      </c>
      <c r="S54" s="88">
        <f t="shared" si="4"/>
        <v>0.29559092724896036</v>
      </c>
      <c r="T54" s="44">
        <f t="shared" si="28"/>
        <v>0.57126465818567207</v>
      </c>
      <c r="U54" s="75">
        <f t="shared" si="5"/>
        <v>2184.6389403547673</v>
      </c>
      <c r="V54" s="44">
        <f t="shared" si="6"/>
        <v>4.369277880709534</v>
      </c>
      <c r="W54" s="20">
        <f t="shared" si="7"/>
        <v>12.463655318533293</v>
      </c>
      <c r="X54" s="20">
        <f t="shared" si="29"/>
        <v>12.426320382982217</v>
      </c>
      <c r="Y54" s="44">
        <f t="shared" si="8"/>
        <v>23.889284417510037</v>
      </c>
      <c r="Z54" s="44">
        <f t="shared" si="30"/>
        <v>20.822219461989143</v>
      </c>
      <c r="AA54" s="44">
        <f t="shared" si="9"/>
        <v>0.7106708511414298</v>
      </c>
      <c r="AB54" s="45"/>
      <c r="AC54" s="86">
        <f t="shared" si="31"/>
        <v>888888.88888888888</v>
      </c>
      <c r="AD54" s="86">
        <f t="shared" si="10"/>
        <v>480000</v>
      </c>
      <c r="AE54" s="44">
        <f t="shared" si="11"/>
        <v>0.57030452317352409</v>
      </c>
      <c r="AF54" s="87">
        <f t="shared" si="32"/>
        <v>1.996608097957642E-3</v>
      </c>
      <c r="AG54" s="87">
        <f t="shared" si="33"/>
        <v>2.0612982003314693E-3</v>
      </c>
      <c r="AH54" s="44">
        <f t="shared" si="34"/>
        <v>-34.148559424515227</v>
      </c>
      <c r="AI54" s="44">
        <f t="shared" si="35"/>
        <v>-2.8549727498696775</v>
      </c>
      <c r="AJ54" s="44">
        <f t="shared" si="36"/>
        <v>0.98441725249103229</v>
      </c>
      <c r="AK54" s="45"/>
      <c r="AL54" s="86">
        <f t="shared" si="12"/>
        <v>40</v>
      </c>
      <c r="AM54" s="86">
        <f t="shared" si="13"/>
        <v>120000</v>
      </c>
      <c r="AN54" s="20"/>
      <c r="AO54" s="87">
        <f t="shared" si="14"/>
        <v>1.1282103896103894E-2</v>
      </c>
      <c r="AP54" s="87">
        <f t="shared" si="37"/>
        <v>1.1293385999999999E-2</v>
      </c>
      <c r="AQ54" s="44">
        <f t="shared" si="38"/>
        <v>3.9960039960038607</v>
      </c>
      <c r="AR54" s="44">
        <f t="shared" si="39"/>
        <v>4.9999999999998934</v>
      </c>
      <c r="AS54" s="44">
        <f t="shared" si="40"/>
        <v>2.0494455762018751E-14</v>
      </c>
      <c r="AT54" s="45"/>
      <c r="AU54" s="89">
        <f t="shared" si="15"/>
        <v>16.961895006108264</v>
      </c>
      <c r="AV54" s="86">
        <f t="shared" si="16"/>
        <v>8428.1181233325588</v>
      </c>
      <c r="AW54" s="18">
        <f t="shared" si="41"/>
        <v>197.34921234033169</v>
      </c>
      <c r="AX54" s="44">
        <f t="shared" si="42"/>
        <v>9.8674606170165848</v>
      </c>
      <c r="AY54" s="44">
        <f t="shared" si="17"/>
        <v>8.3968089335280449E-7</v>
      </c>
      <c r="AZ54" s="89">
        <f t="shared" si="18"/>
        <v>5.0497498015687707</v>
      </c>
      <c r="BA54" s="86">
        <f t="shared" si="19"/>
        <v>1003.6587965099469</v>
      </c>
      <c r="BB54" s="44">
        <f t="shared" si="43"/>
        <v>0.21184970462399247</v>
      </c>
      <c r="BC54" s="20">
        <f t="shared" si="44"/>
        <v>4.2369940924798493E-3</v>
      </c>
      <c r="BD54" s="44">
        <f t="shared" si="20"/>
        <v>3.704954190252656E-3</v>
      </c>
      <c r="BE54" s="45"/>
      <c r="BF54" s="85">
        <f t="shared" si="21"/>
        <v>0.2896285965601717</v>
      </c>
      <c r="BG54" s="85">
        <f t="shared" si="22"/>
        <v>2.0147711278457656</v>
      </c>
      <c r="BH54" s="18">
        <f t="shared" si="45"/>
        <v>12150.648060399402</v>
      </c>
      <c r="BI54" s="18">
        <f t="shared" si="46"/>
        <v>8.5054536422795852</v>
      </c>
      <c r="BJ54" s="44">
        <f t="shared" si="23"/>
        <v>0.82203755064519424</v>
      </c>
      <c r="BK54" s="90"/>
      <c r="BL54" s="20"/>
      <c r="BM54" s="20"/>
      <c r="BN54" s="20"/>
      <c r="BO54" s="20"/>
      <c r="BP54" s="20"/>
      <c r="BQ54" s="20"/>
      <c r="BR54" s="20"/>
      <c r="BS54" s="20"/>
      <c r="BT54" s="20"/>
      <c r="BU54" s="20"/>
      <c r="BV54" s="44"/>
      <c r="BX54" s="44"/>
      <c r="BY54" s="44"/>
      <c r="CA54" s="20"/>
      <c r="CB54" s="20"/>
    </row>
    <row r="55" spans="1:80" ht="17" x14ac:dyDescent="0.2">
      <c r="A55" s="111" t="s">
        <v>108</v>
      </c>
      <c r="B55" s="103" t="s">
        <v>43</v>
      </c>
      <c r="C55" s="104">
        <v>0.5</v>
      </c>
      <c r="D55" s="112" t="s">
        <v>109</v>
      </c>
      <c r="E55" s="106">
        <v>-2.91</v>
      </c>
      <c r="F55" s="107">
        <v>0.5</v>
      </c>
      <c r="G55" s="85"/>
      <c r="H55" s="33">
        <v>82.333333333333258</v>
      </c>
      <c r="I55" s="86">
        <f t="shared" si="24"/>
        <v>39.236992881958379</v>
      </c>
      <c r="J55" s="86">
        <f t="shared" si="25"/>
        <v>389925.78446502058</v>
      </c>
      <c r="K55" s="85"/>
      <c r="L55" s="87">
        <f t="shared" si="0"/>
        <v>2.1175871723084751E-2</v>
      </c>
      <c r="M55" s="87">
        <f t="shared" si="1"/>
        <v>2.1175871723084751E-2</v>
      </c>
      <c r="N55" s="44">
        <f t="shared" si="2"/>
        <v>-1.6000000000000458</v>
      </c>
      <c r="O55" s="44">
        <f t="shared" si="3"/>
        <v>-1.6000000000000458</v>
      </c>
      <c r="P55" s="44">
        <f t="shared" si="26"/>
        <v>-1.8444027667159893E-14</v>
      </c>
      <c r="Q55" s="45"/>
      <c r="R55" s="88">
        <f t="shared" si="27"/>
        <v>1.6300667462659062E-2</v>
      </c>
      <c r="S55" s="88">
        <f t="shared" si="4"/>
        <v>0.3239825522206804</v>
      </c>
      <c r="T55" s="44">
        <f t="shared" si="28"/>
        <v>0.51967857705611031</v>
      </c>
      <c r="U55" s="75">
        <f t="shared" si="5"/>
        <v>2394.4743709291552</v>
      </c>
      <c r="V55" s="44">
        <f t="shared" si="6"/>
        <v>4.7889487418583112</v>
      </c>
      <c r="W55" s="20">
        <f t="shared" si="7"/>
        <v>12.4650514021676</v>
      </c>
      <c r="X55" s="20">
        <f t="shared" si="29"/>
        <v>12.42771228464172</v>
      </c>
      <c r="Y55" s="44">
        <f t="shared" si="8"/>
        <v>24.003972688068309</v>
      </c>
      <c r="Z55" s="44">
        <f t="shared" si="30"/>
        <v>20.936564183317241</v>
      </c>
      <c r="AA55" s="44">
        <f t="shared" si="9"/>
        <v>0.67335696252342314</v>
      </c>
      <c r="AB55" s="45"/>
      <c r="AC55" s="86">
        <f t="shared" si="31"/>
        <v>888888.88888888888</v>
      </c>
      <c r="AD55" s="86">
        <f t="shared" si="10"/>
        <v>480000</v>
      </c>
      <c r="AE55" s="44">
        <f t="shared" si="11"/>
        <v>0.51865764965693895</v>
      </c>
      <c r="AF55" s="87">
        <f t="shared" si="32"/>
        <v>1.9966259081640467E-3</v>
      </c>
      <c r="AG55" s="87">
        <f t="shared" si="33"/>
        <v>2.0613165875885617E-3</v>
      </c>
      <c r="AH55" s="44">
        <f t="shared" si="34"/>
        <v>-34.139943806091978</v>
      </c>
      <c r="AI55" s="44">
        <f t="shared" si="35"/>
        <v>-2.8460779854093676</v>
      </c>
      <c r="AJ55" s="44">
        <f t="shared" si="36"/>
        <v>0.98180734765889521</v>
      </c>
      <c r="AK55" s="45"/>
      <c r="AL55" s="86">
        <f t="shared" si="12"/>
        <v>40</v>
      </c>
      <c r="AM55" s="86">
        <f t="shared" si="13"/>
        <v>120000</v>
      </c>
      <c r="AN55" s="20"/>
      <c r="AO55" s="87">
        <f t="shared" si="14"/>
        <v>1.1282103896103894E-2</v>
      </c>
      <c r="AP55" s="87">
        <f t="shared" si="37"/>
        <v>1.1293385999999999E-2</v>
      </c>
      <c r="AQ55" s="44">
        <f t="shared" si="38"/>
        <v>3.9960039960038607</v>
      </c>
      <c r="AR55" s="44">
        <f t="shared" si="39"/>
        <v>4.9999999999998934</v>
      </c>
      <c r="AS55" s="44">
        <f t="shared" si="40"/>
        <v>2.0494455762018751E-14</v>
      </c>
      <c r="AT55" s="45"/>
      <c r="AU55" s="89">
        <f t="shared" si="15"/>
        <v>16.961907545195814</v>
      </c>
      <c r="AV55" s="86">
        <f t="shared" si="16"/>
        <v>8428.1243538221952</v>
      </c>
      <c r="AW55" s="18">
        <f t="shared" si="41"/>
        <v>197.34935823081446</v>
      </c>
      <c r="AX55" s="44">
        <f t="shared" si="42"/>
        <v>9.8674679115407269</v>
      </c>
      <c r="AY55" s="44">
        <f t="shared" si="17"/>
        <v>7.8902049727402229E-8</v>
      </c>
      <c r="AZ55" s="89">
        <f t="shared" si="18"/>
        <v>5.0384871935946203</v>
      </c>
      <c r="BA55" s="86">
        <f t="shared" si="19"/>
        <v>1001.4203062858595</v>
      </c>
      <c r="BB55" s="44">
        <f t="shared" si="43"/>
        <v>0.21137720989328748</v>
      </c>
      <c r="BC55" s="20">
        <f t="shared" si="44"/>
        <v>4.2275441978657513E-3</v>
      </c>
      <c r="BD55" s="44">
        <f t="shared" si="20"/>
        <v>1.4382242114125486E-3</v>
      </c>
      <c r="BE55" s="45"/>
      <c r="BF55" s="85">
        <f t="shared" si="21"/>
        <v>0.33171398276748487</v>
      </c>
      <c r="BG55" s="85">
        <f t="shared" si="22"/>
        <v>2.3075337280923769</v>
      </c>
      <c r="BH55" s="18">
        <f t="shared" si="45"/>
        <v>13916.235859271366</v>
      </c>
      <c r="BI55" s="18">
        <f t="shared" si="46"/>
        <v>9.7413651014899543</v>
      </c>
      <c r="BJ55" s="44">
        <f t="shared" si="23"/>
        <v>0.79525338585078731</v>
      </c>
      <c r="BK55" s="90"/>
      <c r="BL55" s="20"/>
      <c r="BM55" s="20"/>
      <c r="BN55" s="20"/>
      <c r="BO55" s="20"/>
      <c r="BP55" s="20"/>
      <c r="BQ55" s="20"/>
      <c r="BR55" s="20"/>
      <c r="BS55" s="20"/>
      <c r="BT55" s="20"/>
      <c r="BU55" s="20"/>
      <c r="BV55" s="44"/>
      <c r="BX55" s="44"/>
      <c r="BY55" s="44"/>
      <c r="CA55" s="20"/>
      <c r="CB55" s="20"/>
    </row>
    <row r="56" spans="1:80" ht="17" x14ac:dyDescent="0.2">
      <c r="A56" s="113" t="s">
        <v>21</v>
      </c>
      <c r="B56" s="17" t="s">
        <v>42</v>
      </c>
      <c r="C56" s="95">
        <v>40</v>
      </c>
      <c r="D56" s="96" t="s">
        <v>97</v>
      </c>
      <c r="E56" s="95">
        <v>40</v>
      </c>
      <c r="F56" s="95">
        <v>40</v>
      </c>
      <c r="G56" s="85"/>
      <c r="H56" s="33">
        <v>98.999999999999915</v>
      </c>
      <c r="I56" s="86">
        <f t="shared" si="24"/>
        <v>39.236992881958379</v>
      </c>
      <c r="J56" s="86">
        <f t="shared" si="25"/>
        <v>389925.78446502058</v>
      </c>
      <c r="K56" s="85"/>
      <c r="L56" s="87">
        <f t="shared" si="0"/>
        <v>2.1175871723084751E-2</v>
      </c>
      <c r="M56" s="87">
        <f t="shared" si="1"/>
        <v>2.1175871723084751E-2</v>
      </c>
      <c r="N56" s="44">
        <f t="shared" si="2"/>
        <v>-1.6000000000000458</v>
      </c>
      <c r="O56" s="44">
        <f t="shared" si="3"/>
        <v>-1.6000000000000458</v>
      </c>
      <c r="P56" s="44">
        <f t="shared" si="26"/>
        <v>-1.8444027667159893E-14</v>
      </c>
      <c r="Q56" s="45"/>
      <c r="R56" s="88">
        <f t="shared" si="27"/>
        <v>1.8086474649560241E-2</v>
      </c>
      <c r="S56" s="88">
        <f t="shared" si="4"/>
        <v>0.35947621353925174</v>
      </c>
      <c r="T56" s="44">
        <f t="shared" si="28"/>
        <v>0.45518847146374669</v>
      </c>
      <c r="U56" s="75">
        <f t="shared" si="5"/>
        <v>2656.7991837168165</v>
      </c>
      <c r="V56" s="44">
        <f t="shared" si="6"/>
        <v>5.3135983674336345</v>
      </c>
      <c r="W56" s="20">
        <f t="shared" si="7"/>
        <v>12.466903704705741</v>
      </c>
      <c r="X56" s="20">
        <f t="shared" si="29"/>
        <v>12.42955903859928</v>
      </c>
      <c r="Y56" s="44">
        <f t="shared" si="8"/>
        <v>24.156139341576566</v>
      </c>
      <c r="Z56" s="44">
        <f t="shared" si="30"/>
        <v>21.088275020930915</v>
      </c>
      <c r="AA56" s="44">
        <f t="shared" si="9"/>
        <v>0.62384946247353956</v>
      </c>
      <c r="AB56" s="45"/>
      <c r="AC56" s="86">
        <f t="shared" si="31"/>
        <v>888888.88888888888</v>
      </c>
      <c r="AD56" s="86">
        <f t="shared" si="10"/>
        <v>480000</v>
      </c>
      <c r="AE56" s="44">
        <f t="shared" si="11"/>
        <v>0.45411343205028654</v>
      </c>
      <c r="AF56" s="87">
        <f t="shared" si="32"/>
        <v>1.9966507631535807E-3</v>
      </c>
      <c r="AG56" s="87">
        <f t="shared" si="33"/>
        <v>2.0613422478797569E-3</v>
      </c>
      <c r="AH56" s="44">
        <f t="shared" si="34"/>
        <v>-34.127920301092907</v>
      </c>
      <c r="AI56" s="44">
        <f t="shared" si="35"/>
        <v>-2.8336649188481777</v>
      </c>
      <c r="AJ56" s="44">
        <f t="shared" si="36"/>
        <v>0.97816510142019486</v>
      </c>
      <c r="AK56" s="45"/>
      <c r="AL56" s="86">
        <f t="shared" si="12"/>
        <v>40</v>
      </c>
      <c r="AM56" s="86">
        <f t="shared" si="13"/>
        <v>120000</v>
      </c>
      <c r="AN56" s="20"/>
      <c r="AO56" s="87">
        <f t="shared" si="14"/>
        <v>1.1282103896103894E-2</v>
      </c>
      <c r="AP56" s="87">
        <f t="shared" si="37"/>
        <v>1.1293385999999999E-2</v>
      </c>
      <c r="AQ56" s="44">
        <f t="shared" si="38"/>
        <v>3.9960039960038607</v>
      </c>
      <c r="AR56" s="44">
        <f t="shared" si="39"/>
        <v>4.9999999999998934</v>
      </c>
      <c r="AS56" s="44">
        <f t="shared" si="40"/>
        <v>2.0494455762018751E-14</v>
      </c>
      <c r="AT56" s="45"/>
      <c r="AU56" s="89">
        <f t="shared" si="15"/>
        <v>16.961908798199673</v>
      </c>
      <c r="AV56" s="86">
        <f t="shared" si="16"/>
        <v>8428.1249764215281</v>
      </c>
      <c r="AW56" s="18">
        <f t="shared" si="41"/>
        <v>197.34937280933445</v>
      </c>
      <c r="AX56" s="44">
        <f t="shared" si="42"/>
        <v>9.867468640466722</v>
      </c>
      <c r="AY56" s="44">
        <f t="shared" si="17"/>
        <v>2.8790678774778706E-9</v>
      </c>
      <c r="AZ56" s="89">
        <f t="shared" si="18"/>
        <v>5.0332410318881537</v>
      </c>
      <c r="BA56" s="86">
        <f t="shared" si="19"/>
        <v>1000.3776098055363</v>
      </c>
      <c r="BB56" s="44">
        <f t="shared" si="43"/>
        <v>0.21115712021526442</v>
      </c>
      <c r="BC56" s="20">
        <f t="shared" si="44"/>
        <v>4.2231424043052872E-3</v>
      </c>
      <c r="BD56" s="44">
        <f t="shared" si="20"/>
        <v>3.8237355575766486E-4</v>
      </c>
      <c r="BE56" s="45"/>
      <c r="BF56" s="85">
        <f t="shared" si="21"/>
        <v>0.38833987501801648</v>
      </c>
      <c r="BG56" s="85">
        <f t="shared" si="22"/>
        <v>2.701445842261581</v>
      </c>
      <c r="BH56" s="18">
        <f t="shared" si="45"/>
        <v>16291.834456971865</v>
      </c>
      <c r="BI56" s="18">
        <f t="shared" si="46"/>
        <v>11.404284119880307</v>
      </c>
      <c r="BJ56" s="44">
        <f t="shared" si="23"/>
        <v>0.75921528886868017</v>
      </c>
      <c r="BK56" s="90"/>
      <c r="BL56" s="20"/>
      <c r="BM56" s="20"/>
      <c r="BN56" s="20"/>
      <c r="BO56" s="20"/>
      <c r="BP56" s="20"/>
      <c r="BQ56" s="20"/>
      <c r="BR56" s="20"/>
      <c r="BS56" s="20"/>
      <c r="BT56" s="20"/>
      <c r="BU56" s="20"/>
      <c r="BV56" s="44"/>
      <c r="BX56" s="44"/>
      <c r="BY56" s="44"/>
      <c r="CA56" s="20"/>
      <c r="CB56" s="20"/>
    </row>
    <row r="57" spans="1:80" ht="17" x14ac:dyDescent="0.2">
      <c r="A57" s="113" t="s">
        <v>22</v>
      </c>
      <c r="B57" s="17" t="s">
        <v>42</v>
      </c>
      <c r="C57" s="16">
        <v>120000</v>
      </c>
      <c r="D57" s="109" t="s">
        <v>98</v>
      </c>
      <c r="E57" s="95">
        <v>120000</v>
      </c>
      <c r="F57" s="95">
        <v>120000</v>
      </c>
      <c r="G57" s="85"/>
      <c r="H57" s="33">
        <v>123.99999999999989</v>
      </c>
      <c r="I57" s="86">
        <f t="shared" si="24"/>
        <v>39.236992881958379</v>
      </c>
      <c r="J57" s="86">
        <f t="shared" si="25"/>
        <v>389925.78446502058</v>
      </c>
      <c r="K57" s="85"/>
      <c r="L57" s="87">
        <f t="shared" si="0"/>
        <v>2.1175871723084751E-2</v>
      </c>
      <c r="M57" s="87">
        <f t="shared" si="1"/>
        <v>2.1175871723084751E-2</v>
      </c>
      <c r="N57" s="44">
        <f t="shared" si="2"/>
        <v>-1.6000000000000458</v>
      </c>
      <c r="O57" s="44">
        <f t="shared" si="3"/>
        <v>-1.6000000000000458</v>
      </c>
      <c r="P57" s="44">
        <f t="shared" si="26"/>
        <v>-1.8444027667159893E-14</v>
      </c>
      <c r="Q57" s="45"/>
      <c r="R57" s="88">
        <f t="shared" si="27"/>
        <v>2.0358396007361352E-2</v>
      </c>
      <c r="S57" s="88">
        <f t="shared" si="4"/>
        <v>0.40463159638668555</v>
      </c>
      <c r="T57" s="44">
        <f t="shared" si="28"/>
        <v>0.37314352879757756</v>
      </c>
      <c r="U57" s="75">
        <f t="shared" si="5"/>
        <v>2990.5313745294447</v>
      </c>
      <c r="V57" s="44">
        <f t="shared" si="6"/>
        <v>5.9810627490588892</v>
      </c>
      <c r="W57" s="20">
        <f t="shared" si="7"/>
        <v>12.469474873760527</v>
      </c>
      <c r="X57" s="20">
        <f t="shared" si="29"/>
        <v>12.4321225057056</v>
      </c>
      <c r="Y57" s="44">
        <f t="shared" si="8"/>
        <v>24.36736087942726</v>
      </c>
      <c r="Z57" s="44">
        <f t="shared" si="30"/>
        <v>21.298863843715043</v>
      </c>
      <c r="AA57" s="44">
        <f t="shared" si="9"/>
        <v>0.55512842501508841</v>
      </c>
      <c r="AB57" s="45"/>
      <c r="AC57" s="86">
        <f t="shared" si="31"/>
        <v>888888.88888888888</v>
      </c>
      <c r="AD57" s="86">
        <f t="shared" si="10"/>
        <v>480000</v>
      </c>
      <c r="AE57" s="44">
        <f t="shared" si="11"/>
        <v>0.37204004506513916</v>
      </c>
      <c r="AF57" s="87">
        <f t="shared" si="32"/>
        <v>1.9966878728595989E-3</v>
      </c>
      <c r="AG57" s="87">
        <f t="shared" si="33"/>
        <v>2.0613805599402498E-3</v>
      </c>
      <c r="AH57" s="44">
        <f t="shared" si="34"/>
        <v>-34.109968624420063</v>
      </c>
      <c r="AI57" s="44">
        <f t="shared" si="35"/>
        <v>-2.8151316078512956</v>
      </c>
      <c r="AJ57" s="44">
        <f t="shared" si="36"/>
        <v>0.9727270509645477</v>
      </c>
      <c r="AK57" s="45"/>
      <c r="AL57" s="86">
        <f t="shared" si="12"/>
        <v>40</v>
      </c>
      <c r="AM57" s="86">
        <f t="shared" si="13"/>
        <v>120000</v>
      </c>
      <c r="AN57" s="20"/>
      <c r="AO57" s="87">
        <f t="shared" si="14"/>
        <v>1.1282103896103894E-2</v>
      </c>
      <c r="AP57" s="87">
        <f t="shared" si="37"/>
        <v>1.1293385999999999E-2</v>
      </c>
      <c r="AQ57" s="44">
        <f t="shared" si="38"/>
        <v>3.9960039960038607</v>
      </c>
      <c r="AR57" s="44">
        <f t="shared" si="39"/>
        <v>4.9999999999998934</v>
      </c>
      <c r="AS57" s="44">
        <f t="shared" si="40"/>
        <v>2.0494455762018751E-14</v>
      </c>
      <c r="AT57" s="45"/>
      <c r="AU57" s="89">
        <f t="shared" si="15"/>
        <v>16.961908845321453</v>
      </c>
      <c r="AV57" s="86">
        <f t="shared" si="16"/>
        <v>8428.1249998356525</v>
      </c>
      <c r="AW57" s="18">
        <f t="shared" si="41"/>
        <v>197.34937335758957</v>
      </c>
      <c r="AX57" s="44">
        <f t="shared" si="42"/>
        <v>9.8674686678794767</v>
      </c>
      <c r="AY57" s="44">
        <f t="shared" si="17"/>
        <v>2.0067782329077826E-11</v>
      </c>
      <c r="AZ57" s="89">
        <f t="shared" si="18"/>
        <v>5.0316015948661557</v>
      </c>
      <c r="BA57" s="86">
        <f t="shared" si="19"/>
        <v>1000.051764872003</v>
      </c>
      <c r="BB57" s="44">
        <f t="shared" si="43"/>
        <v>0.21108834170890114</v>
      </c>
      <c r="BC57" s="20">
        <f t="shared" si="44"/>
        <v>4.2217668341780236E-3</v>
      </c>
      <c r="BD57" s="44">
        <f t="shared" si="20"/>
        <v>5.2417913626510217E-5</v>
      </c>
      <c r="BE57" s="45"/>
      <c r="BF57" s="85">
        <f t="shared" si="21"/>
        <v>0.46850384831523328</v>
      </c>
      <c r="BG57" s="85">
        <f t="shared" si="22"/>
        <v>3.2590981625464552</v>
      </c>
      <c r="BH57" s="18">
        <f t="shared" si="45"/>
        <v>19654.914754380879</v>
      </c>
      <c r="BI57" s="18">
        <f t="shared" si="46"/>
        <v>13.758440328066619</v>
      </c>
      <c r="BJ57" s="44">
        <f t="shared" si="23"/>
        <v>0.70819698382591934</v>
      </c>
      <c r="BK57" s="90"/>
      <c r="BL57" s="20"/>
      <c r="BM57" s="20"/>
      <c r="BN57" s="20"/>
      <c r="BO57" s="20"/>
      <c r="BP57" s="20"/>
      <c r="BQ57" s="20"/>
      <c r="BR57" s="20"/>
      <c r="BS57" s="20"/>
      <c r="BT57" s="20"/>
      <c r="BU57" s="20"/>
      <c r="BV57" s="44"/>
      <c r="BX57" s="44"/>
      <c r="BY57" s="44"/>
      <c r="CA57" s="20"/>
      <c r="CB57" s="20"/>
    </row>
    <row r="58" spans="1:80" ht="17" x14ac:dyDescent="0.2">
      <c r="A58" s="110" t="s">
        <v>110</v>
      </c>
      <c r="B58" s="17" t="s">
        <v>43</v>
      </c>
      <c r="C58" s="101">
        <v>-1.2</v>
      </c>
      <c r="D58" s="109" t="s">
        <v>107</v>
      </c>
      <c r="E58" s="101">
        <v>-1.2</v>
      </c>
      <c r="F58" s="101">
        <v>4</v>
      </c>
      <c r="G58" s="85"/>
      <c r="H58" s="33">
        <v>165.66666666666652</v>
      </c>
      <c r="I58" s="86">
        <f t="shared" si="24"/>
        <v>39.236992881958379</v>
      </c>
      <c r="J58" s="86">
        <f t="shared" si="25"/>
        <v>389925.78446502058</v>
      </c>
      <c r="K58" s="85"/>
      <c r="L58" s="87">
        <f t="shared" si="0"/>
        <v>2.1175871723084751E-2</v>
      </c>
      <c r="M58" s="87">
        <f t="shared" si="1"/>
        <v>2.1175871723084751E-2</v>
      </c>
      <c r="N58" s="44">
        <f t="shared" si="2"/>
        <v>-1.6000000000000458</v>
      </c>
      <c r="O58" s="44">
        <f t="shared" si="3"/>
        <v>-1.6000000000000458</v>
      </c>
      <c r="P58" s="44">
        <f t="shared" si="26"/>
        <v>-1.8444027667159893E-14</v>
      </c>
      <c r="Q58" s="45"/>
      <c r="R58" s="88">
        <f t="shared" si="27"/>
        <v>2.3271956840771251E-2</v>
      </c>
      <c r="S58" s="88">
        <f t="shared" si="4"/>
        <v>0.46253983094338075</v>
      </c>
      <c r="T58" s="44">
        <f t="shared" si="28"/>
        <v>0.26792732898911698</v>
      </c>
      <c r="U58" s="75">
        <f t="shared" si="5"/>
        <v>3418.516716830572</v>
      </c>
      <c r="V58" s="44">
        <f t="shared" si="6"/>
        <v>6.8370334336611425</v>
      </c>
      <c r="W58" s="20">
        <f t="shared" si="7"/>
        <v>12.473252148839684</v>
      </c>
      <c r="X58" s="20">
        <f t="shared" si="29"/>
        <v>12.435888465940273</v>
      </c>
      <c r="Y58" s="44">
        <f t="shared" si="8"/>
        <v>24.677664027179969</v>
      </c>
      <c r="Z58" s="44">
        <f t="shared" si="30"/>
        <v>21.608237476993473</v>
      </c>
      <c r="AA58" s="44">
        <f t="shared" si="9"/>
        <v>0.45417113411949878</v>
      </c>
      <c r="AB58" s="45"/>
      <c r="AC58" s="86">
        <f t="shared" si="31"/>
        <v>888888.88888888888</v>
      </c>
      <c r="AD58" s="86">
        <f t="shared" si="10"/>
        <v>480000</v>
      </c>
      <c r="AE58" s="44">
        <f t="shared" si="11"/>
        <v>0.26686928308803165</v>
      </c>
      <c r="AF58" s="87">
        <f t="shared" si="32"/>
        <v>1.9967492644714178E-3</v>
      </c>
      <c r="AG58" s="87">
        <f t="shared" si="33"/>
        <v>2.0614439406402914E-3</v>
      </c>
      <c r="AH58" s="44">
        <f t="shared" si="34"/>
        <v>-34.080270669786252</v>
      </c>
      <c r="AI58" s="44">
        <f t="shared" si="35"/>
        <v>-2.784471439487457</v>
      </c>
      <c r="AJ58" s="44">
        <f t="shared" si="36"/>
        <v>0.96373073386992603</v>
      </c>
      <c r="AK58" s="45"/>
      <c r="AL58" s="86">
        <f t="shared" si="12"/>
        <v>40</v>
      </c>
      <c r="AM58" s="86">
        <f t="shared" si="13"/>
        <v>120000</v>
      </c>
      <c r="AN58" s="20"/>
      <c r="AO58" s="87">
        <f t="shared" si="14"/>
        <v>1.1282103896103894E-2</v>
      </c>
      <c r="AP58" s="87">
        <f t="shared" si="37"/>
        <v>1.1293385999999999E-2</v>
      </c>
      <c r="AQ58" s="44">
        <f t="shared" si="38"/>
        <v>3.9960039960038607</v>
      </c>
      <c r="AR58" s="44">
        <f t="shared" si="39"/>
        <v>4.9999999999998934</v>
      </c>
      <c r="AS58" s="44">
        <f t="shared" si="40"/>
        <v>2.0494455762018751E-14</v>
      </c>
      <c r="AT58" s="45"/>
      <c r="AU58" s="89">
        <f t="shared" si="15"/>
        <v>16.961908845652122</v>
      </c>
      <c r="AV58" s="86">
        <f t="shared" si="16"/>
        <v>8428.1249999999582</v>
      </c>
      <c r="AW58" s="18">
        <f t="shared" si="41"/>
        <v>197.34937336143685</v>
      </c>
      <c r="AX58" s="44">
        <f t="shared" si="42"/>
        <v>9.8674686680718438</v>
      </c>
      <c r="AY58" s="44">
        <f t="shared" si="17"/>
        <v>5.1085100725923348E-15</v>
      </c>
      <c r="AZ58" s="89">
        <f t="shared" si="18"/>
        <v>5.0313506404485127</v>
      </c>
      <c r="BA58" s="86">
        <f t="shared" si="19"/>
        <v>1000.0018866367066</v>
      </c>
      <c r="BB58" s="44">
        <f t="shared" si="43"/>
        <v>0.21107781353991437</v>
      </c>
      <c r="BC58" s="20">
        <f t="shared" si="44"/>
        <v>4.2215562707982887E-3</v>
      </c>
      <c r="BD58" s="44">
        <f t="shared" si="20"/>
        <v>1.9104376404768992E-6</v>
      </c>
      <c r="BE58" s="45"/>
      <c r="BF58" s="85">
        <f t="shared" si="21"/>
        <v>0.59031932489472583</v>
      </c>
      <c r="BG58" s="85">
        <f t="shared" si="22"/>
        <v>4.1064948217577077</v>
      </c>
      <c r="BH58" s="18">
        <f t="shared" si="45"/>
        <v>24765.380370712839</v>
      </c>
      <c r="BI58" s="18">
        <f t="shared" si="46"/>
        <v>17.335766259498989</v>
      </c>
      <c r="BJ58" s="44">
        <f t="shared" si="23"/>
        <v>0.63067064764969583</v>
      </c>
      <c r="BK58" s="90"/>
      <c r="BL58" s="20"/>
      <c r="BM58" s="20"/>
      <c r="BN58" s="20"/>
      <c r="BO58" s="20"/>
      <c r="BP58" s="20"/>
      <c r="BQ58" s="20"/>
      <c r="BR58" s="20"/>
      <c r="BS58" s="20"/>
      <c r="BT58" s="20"/>
      <c r="BU58" s="20"/>
      <c r="BV58" s="44"/>
      <c r="BX58" s="44"/>
      <c r="BY58" s="44"/>
      <c r="CA58" s="20"/>
      <c r="CB58" s="20"/>
    </row>
    <row r="59" spans="1:80" ht="17" x14ac:dyDescent="0.2">
      <c r="A59" s="111" t="s">
        <v>111</v>
      </c>
      <c r="B59" s="103" t="s">
        <v>43</v>
      </c>
      <c r="C59" s="107">
        <v>5</v>
      </c>
      <c r="D59" s="112" t="s">
        <v>109</v>
      </c>
      <c r="E59" s="107">
        <v>-0.2</v>
      </c>
      <c r="F59" s="107">
        <v>5</v>
      </c>
      <c r="G59" s="85"/>
      <c r="H59" s="33">
        <v>221.22222222222476</v>
      </c>
      <c r="I59" s="86">
        <f t="shared" si="24"/>
        <v>39.236992881958379</v>
      </c>
      <c r="J59" s="86">
        <f t="shared" si="25"/>
        <v>389925.78446502058</v>
      </c>
      <c r="K59" s="85"/>
      <c r="L59" s="87">
        <f t="shared" si="0"/>
        <v>2.1175871723084751E-2</v>
      </c>
      <c r="M59" s="87">
        <f t="shared" si="1"/>
        <v>2.1175871723084751E-2</v>
      </c>
      <c r="N59" s="44">
        <f t="shared" si="2"/>
        <v>-1.6000000000000458</v>
      </c>
      <c r="O59" s="44">
        <f t="shared" si="3"/>
        <v>-1.6000000000000458</v>
      </c>
      <c r="P59" s="44">
        <f t="shared" si="26"/>
        <v>-1.8444027667159893E-14</v>
      </c>
      <c r="Q59" s="45"/>
      <c r="R59" s="88">
        <f t="shared" si="27"/>
        <v>2.5920870741088273E-2</v>
      </c>
      <c r="S59" s="88">
        <f t="shared" si="4"/>
        <v>0.51518809752531558</v>
      </c>
      <c r="T59" s="44">
        <f t="shared" si="28"/>
        <v>0.17226821282610322</v>
      </c>
      <c r="U59" s="75">
        <f t="shared" si="5"/>
        <v>3807.6269455765323</v>
      </c>
      <c r="V59" s="44">
        <f t="shared" si="6"/>
        <v>7.6152538911530634</v>
      </c>
      <c r="W59" s="20">
        <f t="shared" si="7"/>
        <v>12.477400468711371</v>
      </c>
      <c r="X59" s="20">
        <f t="shared" si="29"/>
        <v>12.44002435950113</v>
      </c>
      <c r="Y59" s="44">
        <f t="shared" si="8"/>
        <v>25.018448504639188</v>
      </c>
      <c r="Z59" s="44">
        <f t="shared" si="30"/>
        <v>21.948001133017758</v>
      </c>
      <c r="AA59" s="44">
        <f t="shared" si="9"/>
        <v>0.34329672671279465</v>
      </c>
      <c r="AB59" s="45"/>
      <c r="AC59" s="86">
        <f t="shared" si="31"/>
        <v>888888.88888888888</v>
      </c>
      <c r="AD59" s="86">
        <f t="shared" si="10"/>
        <v>480000</v>
      </c>
      <c r="AE59" s="44">
        <f t="shared" si="11"/>
        <v>0.17136039574895418</v>
      </c>
      <c r="AF59" s="87">
        <f t="shared" si="32"/>
        <v>1.9968302376440193E-3</v>
      </c>
      <c r="AG59" s="87">
        <f t="shared" si="33"/>
        <v>2.0615275373436852E-3</v>
      </c>
      <c r="AH59" s="44">
        <f t="shared" si="34"/>
        <v>-34.041100210904006</v>
      </c>
      <c r="AI59" s="44">
        <f t="shared" si="35"/>
        <v>-2.7440318577374168</v>
      </c>
      <c r="AJ59" s="44">
        <f t="shared" si="36"/>
        <v>0.95186493795256499</v>
      </c>
      <c r="AK59" s="45"/>
      <c r="AL59" s="86">
        <f t="shared" si="12"/>
        <v>40</v>
      </c>
      <c r="AM59" s="86">
        <f t="shared" si="13"/>
        <v>120000</v>
      </c>
      <c r="AN59" s="20"/>
      <c r="AO59" s="87">
        <f t="shared" si="14"/>
        <v>1.1282103896103894E-2</v>
      </c>
      <c r="AP59" s="87">
        <f t="shared" si="37"/>
        <v>1.1293385999999999E-2</v>
      </c>
      <c r="AQ59" s="44">
        <f t="shared" si="38"/>
        <v>3.9960039960038607</v>
      </c>
      <c r="AR59" s="44">
        <f t="shared" si="39"/>
        <v>4.9999999999998934</v>
      </c>
      <c r="AS59" s="44">
        <f t="shared" si="40"/>
        <v>2.0494455762018751E-14</v>
      </c>
      <c r="AT59" s="45"/>
      <c r="AU59" s="89">
        <f t="shared" si="15"/>
        <v>16.961908845652207</v>
      </c>
      <c r="AV59" s="86">
        <f t="shared" si="16"/>
        <v>8428.125</v>
      </c>
      <c r="AW59" s="18">
        <f t="shared" si="41"/>
        <v>197.34937336143781</v>
      </c>
      <c r="AX59" s="44">
        <f t="shared" si="42"/>
        <v>9.8674686680718935</v>
      </c>
      <c r="AY59" s="44">
        <f t="shared" si="17"/>
        <v>0</v>
      </c>
      <c r="AZ59" s="89">
        <f t="shared" si="18"/>
        <v>5.0313412628390024</v>
      </c>
      <c r="BA59" s="86">
        <f t="shared" si="19"/>
        <v>1000.0000227977748</v>
      </c>
      <c r="BB59" s="44">
        <f t="shared" si="43"/>
        <v>0.21107742012561012</v>
      </c>
      <c r="BC59" s="20">
        <f t="shared" si="44"/>
        <v>4.2215484025122027E-3</v>
      </c>
      <c r="BD59" s="44">
        <f t="shared" si="20"/>
        <v>2.3085380974699742E-8</v>
      </c>
      <c r="BE59" s="45"/>
      <c r="BF59" s="85">
        <f t="shared" si="21"/>
        <v>0.73225349644743698</v>
      </c>
      <c r="BG59" s="85">
        <f t="shared" si="22"/>
        <v>5.0938450844576817</v>
      </c>
      <c r="BH59" s="18">
        <f t="shared" si="45"/>
        <v>30719.875840993707</v>
      </c>
      <c r="BI59" s="18">
        <f t="shared" si="46"/>
        <v>21.503913088695597</v>
      </c>
      <c r="BJ59" s="44">
        <f t="shared" si="23"/>
        <v>0.54034028399094769</v>
      </c>
      <c r="BK59" s="90"/>
      <c r="BL59" s="20"/>
      <c r="BM59" s="20"/>
      <c r="BN59" s="20"/>
      <c r="BO59" s="20"/>
      <c r="BP59" s="20"/>
      <c r="BQ59" s="20"/>
      <c r="BR59" s="20"/>
      <c r="BS59" s="20"/>
      <c r="BT59" s="20"/>
      <c r="BU59" s="20"/>
      <c r="BV59" s="44"/>
      <c r="BX59" s="44"/>
      <c r="BY59" s="44"/>
      <c r="CA59" s="20"/>
      <c r="CB59" s="20"/>
    </row>
    <row r="60" spans="1:80" x14ac:dyDescent="0.2">
      <c r="A60" s="94" t="s">
        <v>27</v>
      </c>
      <c r="B60" s="17" t="s">
        <v>42</v>
      </c>
      <c r="C60" s="16">
        <v>0.5</v>
      </c>
      <c r="D60" s="109" t="s">
        <v>112</v>
      </c>
      <c r="E60" s="101">
        <v>0.5</v>
      </c>
      <c r="F60" s="95">
        <v>17</v>
      </c>
      <c r="G60" s="85"/>
      <c r="H60" s="33">
        <v>321.58064516129122</v>
      </c>
      <c r="I60" s="86">
        <f t="shared" si="24"/>
        <v>39.236992881958379</v>
      </c>
      <c r="J60" s="86">
        <f t="shared" si="25"/>
        <v>389925.78446502058</v>
      </c>
      <c r="K60" s="85"/>
      <c r="L60" s="87">
        <f t="shared" si="0"/>
        <v>2.1175871723084751E-2</v>
      </c>
      <c r="M60" s="87">
        <f t="shared" si="1"/>
        <v>2.1175871723084751E-2</v>
      </c>
      <c r="N60" s="44">
        <f t="shared" si="2"/>
        <v>-1.6000000000000458</v>
      </c>
      <c r="O60" s="44">
        <f t="shared" si="3"/>
        <v>-1.6000000000000458</v>
      </c>
      <c r="P60" s="44">
        <f t="shared" si="26"/>
        <v>-1.8444027667159893E-14</v>
      </c>
      <c r="Q60" s="45"/>
      <c r="R60" s="88">
        <f t="shared" si="27"/>
        <v>2.8543114260660776E-2</v>
      </c>
      <c r="S60" s="88">
        <f t="shared" si="4"/>
        <v>0.567306279186366</v>
      </c>
      <c r="T60" s="44">
        <f t="shared" si="28"/>
        <v>7.7572232931673521E-2</v>
      </c>
      <c r="U60" s="75">
        <f t="shared" si="5"/>
        <v>4192.8194486648181</v>
      </c>
      <c r="V60" s="44">
        <f t="shared" si="6"/>
        <v>8.3856388973296347</v>
      </c>
      <c r="W60" s="20">
        <f t="shared" si="7"/>
        <v>12.482753611115461</v>
      </c>
      <c r="X60" s="20">
        <f t="shared" si="29"/>
        <v>12.445361466543078</v>
      </c>
      <c r="Y60" s="44">
        <f t="shared" si="8"/>
        <v>25.458209153135236</v>
      </c>
      <c r="Z60" s="44">
        <f t="shared" si="30"/>
        <v>22.386444476513834</v>
      </c>
      <c r="AA60" s="44">
        <f t="shared" si="9"/>
        <v>0.20022037045872615</v>
      </c>
      <c r="AB60" s="45"/>
      <c r="AC60" s="86">
        <f t="shared" si="31"/>
        <v>888888.88888888888</v>
      </c>
      <c r="AD60" s="86">
        <f t="shared" si="10"/>
        <v>480000</v>
      </c>
      <c r="AE60" s="44">
        <f t="shared" si="11"/>
        <v>7.6978705619951043E-2</v>
      </c>
      <c r="AF60" s="87">
        <f t="shared" si="32"/>
        <v>1.9969739929514168E-3</v>
      </c>
      <c r="AG60" s="87">
        <f t="shared" si="33"/>
        <v>2.0616759503230427E-3</v>
      </c>
      <c r="AH60" s="44">
        <f t="shared" si="34"/>
        <v>-33.971559137279009</v>
      </c>
      <c r="AI60" s="44">
        <f t="shared" si="35"/>
        <v>-2.6722376533268033</v>
      </c>
      <c r="AJ60" s="44">
        <f t="shared" si="36"/>
        <v>0.93079905792316064</v>
      </c>
      <c r="AK60" s="45"/>
      <c r="AL60" s="86">
        <f t="shared" si="12"/>
        <v>40</v>
      </c>
      <c r="AM60" s="86">
        <f t="shared" si="13"/>
        <v>120000</v>
      </c>
      <c r="AN60" s="20"/>
      <c r="AO60" s="87">
        <f t="shared" si="14"/>
        <v>1.1282103896103894E-2</v>
      </c>
      <c r="AP60" s="87">
        <f t="shared" si="37"/>
        <v>1.1293385999999999E-2</v>
      </c>
      <c r="AQ60" s="44">
        <f t="shared" si="38"/>
        <v>3.9960039960038607</v>
      </c>
      <c r="AR60" s="44">
        <f t="shared" si="39"/>
        <v>4.9999999999998934</v>
      </c>
      <c r="AS60" s="44">
        <f t="shared" si="40"/>
        <v>2.0494455762018751E-14</v>
      </c>
      <c r="AT60" s="45"/>
      <c r="AU60" s="89">
        <f t="shared" si="15"/>
        <v>16.961908845652207</v>
      </c>
      <c r="AV60" s="86">
        <f t="shared" si="16"/>
        <v>8428.125</v>
      </c>
      <c r="AW60" s="18">
        <f t="shared" si="41"/>
        <v>197.34937336143781</v>
      </c>
      <c r="AX60" s="44">
        <f t="shared" si="42"/>
        <v>9.8674686680718935</v>
      </c>
      <c r="AY60" s="44">
        <f t="shared" si="17"/>
        <v>0</v>
      </c>
      <c r="AZ60" s="89">
        <f t="shared" si="18"/>
        <v>5.0313411481749899</v>
      </c>
      <c r="BA60" s="86">
        <f t="shared" si="19"/>
        <v>1000.0000000078251</v>
      </c>
      <c r="BB60" s="44">
        <f t="shared" si="43"/>
        <v>0.21107741531516641</v>
      </c>
      <c r="BC60" s="20">
        <f t="shared" si="44"/>
        <v>4.2215483063033294E-3</v>
      </c>
      <c r="BD60" s="44">
        <f t="shared" si="20"/>
        <v>7.9237824327026576E-12</v>
      </c>
      <c r="BE60" s="45"/>
      <c r="BF60" s="85">
        <f t="shared" si="21"/>
        <v>0.9391176339778452</v>
      </c>
      <c r="BG60" s="85">
        <f t="shared" si="22"/>
        <v>6.5328738842136236</v>
      </c>
      <c r="BH60" s="18">
        <f t="shared" si="45"/>
        <v>39398.346687113524</v>
      </c>
      <c r="BI60" s="18">
        <f t="shared" si="46"/>
        <v>27.578842680979466</v>
      </c>
      <c r="BJ60" s="44">
        <f t="shared" si="23"/>
        <v>0.40868690857997098</v>
      </c>
      <c r="BK60" s="90"/>
      <c r="BL60" s="20"/>
      <c r="BM60" s="20"/>
      <c r="BN60" s="20"/>
      <c r="BO60" s="20"/>
      <c r="BP60" s="20"/>
      <c r="BQ60" s="20"/>
      <c r="BR60" s="20"/>
      <c r="BS60" s="20"/>
      <c r="BT60" s="20"/>
      <c r="BU60" s="20"/>
      <c r="BV60" s="44"/>
      <c r="BX60" s="44"/>
      <c r="BY60" s="44"/>
      <c r="CA60" s="20"/>
      <c r="CB60" s="20"/>
    </row>
    <row r="61" spans="1:80" x14ac:dyDescent="0.2">
      <c r="A61" s="94" t="s">
        <v>113</v>
      </c>
      <c r="B61" s="17" t="s">
        <v>42</v>
      </c>
      <c r="C61" s="95">
        <v>9000</v>
      </c>
      <c r="D61" s="109" t="s">
        <v>114</v>
      </c>
      <c r="E61" s="95">
        <v>239</v>
      </c>
      <c r="F61" s="95">
        <v>8428</v>
      </c>
      <c r="G61" s="85"/>
      <c r="H61" s="33">
        <v>415.66666666667402</v>
      </c>
      <c r="I61" s="86">
        <f t="shared" si="24"/>
        <v>39.236992881958379</v>
      </c>
      <c r="J61" s="86">
        <f t="shared" si="25"/>
        <v>389925.78446502058</v>
      </c>
      <c r="K61" s="85"/>
      <c r="L61" s="87">
        <f t="shared" si="0"/>
        <v>2.1175871723084751E-2</v>
      </c>
      <c r="M61" s="87">
        <f t="shared" si="1"/>
        <v>2.1175871723084751E-2</v>
      </c>
      <c r="N61" s="44">
        <f t="shared" si="2"/>
        <v>-1.6000000000000458</v>
      </c>
      <c r="O61" s="44">
        <f t="shared" si="3"/>
        <v>-1.6000000000000458</v>
      </c>
      <c r="P61" s="44">
        <f t="shared" si="26"/>
        <v>-1.8444027667159893E-14</v>
      </c>
      <c r="Q61" s="45"/>
      <c r="R61" s="88">
        <f t="shared" si="27"/>
        <v>2.9674452276703463E-2</v>
      </c>
      <c r="S61" s="88">
        <f t="shared" si="4"/>
        <v>0.5897920932612456</v>
      </c>
      <c r="T61" s="44">
        <f t="shared" si="28"/>
        <v>3.6716697882644971E-2</v>
      </c>
      <c r="U61" s="75">
        <f t="shared" si="5"/>
        <v>4359.0065014635838</v>
      </c>
      <c r="V61" s="44">
        <f t="shared" si="6"/>
        <v>8.7180130029271687</v>
      </c>
      <c r="W61" s="20">
        <f t="shared" si="7"/>
        <v>12.485880757569877</v>
      </c>
      <c r="X61" s="20">
        <f t="shared" si="29"/>
        <v>12.448479245616229</v>
      </c>
      <c r="Y61" s="44">
        <f t="shared" si="8"/>
        <v>25.715104234365292</v>
      </c>
      <c r="Z61" s="44">
        <f t="shared" si="30"/>
        <v>22.642570027373132</v>
      </c>
      <c r="AA61" s="44">
        <f t="shared" si="9"/>
        <v>0.11663942185013913</v>
      </c>
      <c r="AB61" s="45"/>
      <c r="AC61" s="86">
        <f t="shared" si="31"/>
        <v>888888.88888888888</v>
      </c>
      <c r="AD61" s="86">
        <f t="shared" si="10"/>
        <v>480000</v>
      </c>
      <c r="AE61" s="44">
        <f t="shared" si="11"/>
        <v>3.6353982414458343E-2</v>
      </c>
      <c r="AF61" s="87">
        <f t="shared" si="32"/>
        <v>1.9971058727887791E-3</v>
      </c>
      <c r="AG61" s="87">
        <f t="shared" si="33"/>
        <v>2.0618121030671352E-3</v>
      </c>
      <c r="AH61" s="44">
        <f t="shared" si="34"/>
        <v>-33.907762776325903</v>
      </c>
      <c r="AI61" s="44">
        <f t="shared" si="35"/>
        <v>-2.6063742902789899</v>
      </c>
      <c r="AJ61" s="44">
        <f t="shared" si="36"/>
        <v>0.91147340739623273</v>
      </c>
      <c r="AK61" s="45"/>
      <c r="AL61" s="86">
        <f t="shared" si="12"/>
        <v>40</v>
      </c>
      <c r="AM61" s="86">
        <f t="shared" si="13"/>
        <v>120000</v>
      </c>
      <c r="AN61" s="20"/>
      <c r="AO61" s="87">
        <f t="shared" si="14"/>
        <v>1.1282103896103894E-2</v>
      </c>
      <c r="AP61" s="87">
        <f t="shared" si="37"/>
        <v>1.1293385999999999E-2</v>
      </c>
      <c r="AQ61" s="44">
        <f t="shared" si="38"/>
        <v>3.9960039960038607</v>
      </c>
      <c r="AR61" s="44">
        <f t="shared" si="39"/>
        <v>4.9999999999998934</v>
      </c>
      <c r="AS61" s="44">
        <f t="shared" si="40"/>
        <v>2.0494455762018751E-14</v>
      </c>
      <c r="AT61" s="45"/>
      <c r="AU61" s="89">
        <f t="shared" si="15"/>
        <v>16.961908845652207</v>
      </c>
      <c r="AV61" s="86">
        <f t="shared" si="16"/>
        <v>8428.125</v>
      </c>
      <c r="AW61" s="18">
        <f t="shared" si="41"/>
        <v>197.34937336143781</v>
      </c>
      <c r="AX61" s="44">
        <f t="shared" si="42"/>
        <v>9.8674686680718935</v>
      </c>
      <c r="AY61" s="44">
        <f t="shared" si="17"/>
        <v>0</v>
      </c>
      <c r="AZ61" s="89">
        <f t="shared" si="18"/>
        <v>5.0313411481356418</v>
      </c>
      <c r="BA61" s="86">
        <f t="shared" si="19"/>
        <v>1000.0000000000044</v>
      </c>
      <c r="BB61" s="44">
        <f t="shared" si="43"/>
        <v>0.21107741531351568</v>
      </c>
      <c r="BC61" s="20">
        <f t="shared" si="44"/>
        <v>4.2215483062703141E-3</v>
      </c>
      <c r="BD61" s="44">
        <f t="shared" si="20"/>
        <v>4.4897212679849429E-15</v>
      </c>
      <c r="BE61" s="45"/>
      <c r="BF61" s="85">
        <f t="shared" si="21"/>
        <v>1.0870281627729725</v>
      </c>
      <c r="BG61" s="85">
        <f t="shared" si="22"/>
        <v>7.5617980528217812</v>
      </c>
      <c r="BH61" s="18">
        <f t="shared" si="45"/>
        <v>45603.565374639729</v>
      </c>
      <c r="BI61" s="18">
        <f t="shared" si="46"/>
        <v>31.922495762247806</v>
      </c>
      <c r="BJ61" s="44">
        <f t="shared" si="23"/>
        <v>0.3145530456147746</v>
      </c>
      <c r="BK61" s="90"/>
      <c r="BL61" s="20"/>
      <c r="BM61" s="20"/>
      <c r="BN61" s="20"/>
      <c r="BO61" s="20"/>
      <c r="BP61" s="20"/>
      <c r="BQ61" s="20"/>
      <c r="BR61" s="20"/>
      <c r="BS61" s="20"/>
      <c r="BT61" s="20"/>
      <c r="BU61" s="20"/>
      <c r="BV61" s="44"/>
      <c r="BX61" s="44"/>
      <c r="BY61" s="44"/>
      <c r="CA61" s="20"/>
      <c r="CB61" s="20"/>
    </row>
    <row r="62" spans="1:80" ht="17" x14ac:dyDescent="0.2">
      <c r="A62" s="110" t="s">
        <v>29</v>
      </c>
      <c r="B62" s="17" t="s">
        <v>115</v>
      </c>
      <c r="C62" s="101">
        <v>5.5</v>
      </c>
      <c r="D62" s="109" t="s">
        <v>112</v>
      </c>
      <c r="E62" s="101">
        <v>5.5</v>
      </c>
      <c r="F62" s="101">
        <v>197.3</v>
      </c>
      <c r="G62" s="85"/>
      <c r="H62" s="33">
        <v>475.19047619047831</v>
      </c>
      <c r="I62" s="86">
        <f t="shared" si="24"/>
        <v>39.236992881958379</v>
      </c>
      <c r="J62" s="86">
        <f t="shared" si="25"/>
        <v>389925.78446502058</v>
      </c>
      <c r="K62" s="85"/>
      <c r="L62" s="87">
        <f t="shared" si="0"/>
        <v>2.1175871723084751E-2</v>
      </c>
      <c r="M62" s="87">
        <f t="shared" si="1"/>
        <v>2.1175871723084751E-2</v>
      </c>
      <c r="N62" s="44">
        <f t="shared" si="2"/>
        <v>-1.6000000000000458</v>
      </c>
      <c r="O62" s="44">
        <f t="shared" si="3"/>
        <v>-1.6000000000000458</v>
      </c>
      <c r="P62" s="44">
        <f t="shared" si="26"/>
        <v>-1.8444027667159893E-14</v>
      </c>
      <c r="Q62" s="45"/>
      <c r="R62" s="88">
        <f t="shared" si="27"/>
        <v>3.0057760116096163E-2</v>
      </c>
      <c r="S62" s="88">
        <f t="shared" si="4"/>
        <v>0.59741049615039843</v>
      </c>
      <c r="T62" s="44">
        <f t="shared" si="28"/>
        <v>2.2874462719670533E-2</v>
      </c>
      <c r="U62" s="75">
        <f t="shared" si="5"/>
        <v>4415.3122202143386</v>
      </c>
      <c r="V62" s="44">
        <f t="shared" si="6"/>
        <v>8.8306244404286769</v>
      </c>
      <c r="W62" s="20">
        <f t="shared" si="7"/>
        <v>12.487190352200464</v>
      </c>
      <c r="X62" s="20">
        <f t="shared" si="29"/>
        <v>12.449784917350211</v>
      </c>
      <c r="Y62" s="44">
        <f t="shared" si="8"/>
        <v>25.822687433268101</v>
      </c>
      <c r="Z62" s="44">
        <f t="shared" si="30"/>
        <v>22.749830960319795</v>
      </c>
      <c r="AA62" s="44">
        <f t="shared" si="9"/>
        <v>8.1637171999444438E-2</v>
      </c>
      <c r="AB62" s="45"/>
      <c r="AC62" s="86">
        <f t="shared" si="31"/>
        <v>888888.88888888888</v>
      </c>
      <c r="AD62" s="86">
        <f t="shared" si="10"/>
        <v>480000</v>
      </c>
      <c r="AE62" s="44">
        <f t="shared" si="11"/>
        <v>2.26163153375206E-2</v>
      </c>
      <c r="AF62" s="87">
        <f t="shared" si="32"/>
        <v>1.9971878892311476E-3</v>
      </c>
      <c r="AG62" s="87">
        <f t="shared" si="33"/>
        <v>2.0618967768422365E-3</v>
      </c>
      <c r="AH62" s="44">
        <f t="shared" si="34"/>
        <v>-33.868087639731257</v>
      </c>
      <c r="AI62" s="44">
        <f t="shared" si="35"/>
        <v>-2.5654136792586657</v>
      </c>
      <c r="AJ62" s="44">
        <f t="shared" si="36"/>
        <v>0.89945473089206507</v>
      </c>
      <c r="AK62" s="45"/>
      <c r="AL62" s="86">
        <f t="shared" si="12"/>
        <v>40</v>
      </c>
      <c r="AM62" s="86">
        <f t="shared" si="13"/>
        <v>120000</v>
      </c>
      <c r="AN62" s="20"/>
      <c r="AO62" s="87">
        <f t="shared" si="14"/>
        <v>1.1282103896103894E-2</v>
      </c>
      <c r="AP62" s="87">
        <f t="shared" si="37"/>
        <v>1.1293385999999999E-2</v>
      </c>
      <c r="AQ62" s="44">
        <f t="shared" si="38"/>
        <v>3.9960039960038607</v>
      </c>
      <c r="AR62" s="44">
        <f t="shared" si="39"/>
        <v>4.9999999999998934</v>
      </c>
      <c r="AS62" s="44">
        <f t="shared" si="40"/>
        <v>2.0494455762018751E-14</v>
      </c>
      <c r="AT62" s="45"/>
      <c r="AU62" s="89">
        <f t="shared" si="15"/>
        <v>16.961908845652207</v>
      </c>
      <c r="AV62" s="86">
        <f t="shared" si="16"/>
        <v>8428.125</v>
      </c>
      <c r="AW62" s="18">
        <f t="shared" si="41"/>
        <v>197.34937336143781</v>
      </c>
      <c r="AX62" s="44">
        <f t="shared" si="42"/>
        <v>9.8674686680718935</v>
      </c>
      <c r="AY62" s="44">
        <f t="shared" si="17"/>
        <v>0</v>
      </c>
      <c r="AZ62" s="89">
        <f t="shared" si="18"/>
        <v>5.0313411481356196</v>
      </c>
      <c r="BA62" s="86">
        <f t="shared" si="19"/>
        <v>1000</v>
      </c>
      <c r="BB62" s="44">
        <f t="shared" si="43"/>
        <v>0.21107741531351473</v>
      </c>
      <c r="BC62" s="20">
        <f t="shared" si="44"/>
        <v>4.221548306270295E-3</v>
      </c>
      <c r="BD62" s="44">
        <f t="shared" si="20"/>
        <v>0</v>
      </c>
      <c r="BE62" s="45"/>
      <c r="BF62" s="85">
        <f t="shared" si="21"/>
        <v>1.1624692139734993</v>
      </c>
      <c r="BG62" s="85">
        <f t="shared" si="22"/>
        <v>8.0865958580743342</v>
      </c>
      <c r="BH62" s="18">
        <f t="shared" si="45"/>
        <v>48768.507211637283</v>
      </c>
      <c r="BI62" s="18">
        <f t="shared" si="46"/>
        <v>34.137955048146083</v>
      </c>
      <c r="BJ62" s="44">
        <f t="shared" si="23"/>
        <v>0.26654052322363908</v>
      </c>
      <c r="BK62" s="90"/>
      <c r="BL62" s="20"/>
      <c r="BM62" s="20"/>
      <c r="BN62" s="20"/>
      <c r="BO62" s="20"/>
      <c r="BP62" s="20"/>
      <c r="BQ62" s="20"/>
      <c r="BR62" s="20"/>
      <c r="BS62" s="20"/>
      <c r="BT62" s="20"/>
      <c r="BU62" s="20"/>
      <c r="BV62" s="44"/>
      <c r="BX62" s="44"/>
      <c r="BY62" s="44"/>
      <c r="CA62" s="20"/>
      <c r="CB62" s="20"/>
    </row>
    <row r="63" spans="1:80" ht="17" x14ac:dyDescent="0.2">
      <c r="A63" s="111" t="s">
        <v>30</v>
      </c>
      <c r="B63" s="103" t="s">
        <v>115</v>
      </c>
      <c r="C63" s="107">
        <v>10.6</v>
      </c>
      <c r="D63" s="112" t="s">
        <v>114</v>
      </c>
      <c r="E63" s="107">
        <v>0.3</v>
      </c>
      <c r="F63" s="107">
        <v>9.9</v>
      </c>
      <c r="G63" s="85"/>
      <c r="H63" s="33">
        <v>554.55555555554815</v>
      </c>
      <c r="I63" s="86">
        <f t="shared" si="24"/>
        <v>39.236992881958379</v>
      </c>
      <c r="J63" s="86">
        <f t="shared" si="25"/>
        <v>389925.78446502058</v>
      </c>
      <c r="K63" s="85"/>
      <c r="L63" s="87">
        <f t="shared" si="0"/>
        <v>2.1175871723084751E-2</v>
      </c>
      <c r="M63" s="87">
        <f t="shared" si="1"/>
        <v>2.1175871723084751E-2</v>
      </c>
      <c r="N63" s="44">
        <f t="shared" si="2"/>
        <v>-1.6000000000000458</v>
      </c>
      <c r="O63" s="44">
        <f t="shared" si="3"/>
        <v>-1.6000000000000458</v>
      </c>
      <c r="P63" s="44">
        <f t="shared" si="26"/>
        <v>-1.8444027667159893E-14</v>
      </c>
      <c r="Q63" s="45"/>
      <c r="R63" s="88">
        <f t="shared" si="27"/>
        <v>3.0354145673619368E-2</v>
      </c>
      <c r="S63" s="88">
        <f t="shared" si="4"/>
        <v>0.60330128249934301</v>
      </c>
      <c r="T63" s="44">
        <f t="shared" si="28"/>
        <v>1.217121544811571E-2</v>
      </c>
      <c r="U63" s="75">
        <f t="shared" si="5"/>
        <v>4458.8495552976156</v>
      </c>
      <c r="V63" s="44">
        <f t="shared" si="6"/>
        <v>8.9176991105952297</v>
      </c>
      <c r="W63" s="20">
        <f t="shared" si="7"/>
        <v>12.48837571956099</v>
      </c>
      <c r="X63" s="20">
        <f t="shared" si="29"/>
        <v>12.450966733937477</v>
      </c>
      <c r="Y63" s="44">
        <f t="shared" si="8"/>
        <v>25.920065361935364</v>
      </c>
      <c r="Z63" s="44">
        <f t="shared" si="30"/>
        <v>22.846917192963723</v>
      </c>
      <c r="AA63" s="44">
        <f t="shared" si="9"/>
        <v>4.995521214035388E-2</v>
      </c>
      <c r="AB63" s="45"/>
      <c r="AC63" s="86">
        <f t="shared" si="31"/>
        <v>888888.88888888888</v>
      </c>
      <c r="AD63" s="86">
        <f t="shared" si="10"/>
        <v>480000</v>
      </c>
      <c r="AE63" s="44">
        <f t="shared" si="11"/>
        <v>1.2011068992645722E-2</v>
      </c>
      <c r="AF63" s="87">
        <f t="shared" si="32"/>
        <v>1.9972955646746526E-3</v>
      </c>
      <c r="AG63" s="87">
        <f t="shared" si="33"/>
        <v>2.0620079409701111E-3</v>
      </c>
      <c r="AH63" s="44">
        <f t="shared" si="34"/>
        <v>-33.816000060636341</v>
      </c>
      <c r="AI63" s="44">
        <f t="shared" si="35"/>
        <v>-2.5116384626010513</v>
      </c>
      <c r="AJ63" s="44">
        <f t="shared" si="36"/>
        <v>0.88367598841606276</v>
      </c>
      <c r="AK63" s="45"/>
      <c r="AL63" s="86">
        <f t="shared" si="12"/>
        <v>40</v>
      </c>
      <c r="AM63" s="86">
        <f t="shared" si="13"/>
        <v>120000</v>
      </c>
      <c r="AN63" s="20"/>
      <c r="AO63" s="87">
        <f t="shared" si="14"/>
        <v>1.1282103896103894E-2</v>
      </c>
      <c r="AP63" s="87">
        <f t="shared" si="37"/>
        <v>1.1293385999999999E-2</v>
      </c>
      <c r="AQ63" s="44">
        <f t="shared" si="38"/>
        <v>3.9960039960038607</v>
      </c>
      <c r="AR63" s="44">
        <f t="shared" si="39"/>
        <v>4.9999999999998934</v>
      </c>
      <c r="AS63" s="44">
        <f t="shared" si="40"/>
        <v>2.0494455762018751E-14</v>
      </c>
      <c r="AT63" s="45"/>
      <c r="AU63" s="89">
        <f t="shared" si="15"/>
        <v>16.961908845652207</v>
      </c>
      <c r="AV63" s="86">
        <f t="shared" si="16"/>
        <v>8428.125</v>
      </c>
      <c r="AW63" s="18">
        <f t="shared" si="41"/>
        <v>197.34937336143781</v>
      </c>
      <c r="AX63" s="44">
        <f t="shared" si="42"/>
        <v>9.8674686680718935</v>
      </c>
      <c r="AY63" s="44">
        <f t="shared" si="17"/>
        <v>0</v>
      </c>
      <c r="AZ63" s="89">
        <f t="shared" si="18"/>
        <v>5.0313411481356196</v>
      </c>
      <c r="BA63" s="86">
        <f t="shared" si="19"/>
        <v>1000</v>
      </c>
      <c r="BB63" s="44">
        <f t="shared" si="43"/>
        <v>0.21107741531351473</v>
      </c>
      <c r="BC63" s="20">
        <f t="shared" si="44"/>
        <v>4.221548306270295E-3</v>
      </c>
      <c r="BD63" s="44">
        <f t="shared" si="20"/>
        <v>0</v>
      </c>
      <c r="BE63" s="45"/>
      <c r="BF63" s="85">
        <f t="shared" si="21"/>
        <v>1.2454568172857574</v>
      </c>
      <c r="BG63" s="85">
        <f t="shared" si="22"/>
        <v>8.6638904660945695</v>
      </c>
      <c r="BH63" s="18">
        <f t="shared" si="45"/>
        <v>52250.04588978985</v>
      </c>
      <c r="BI63" s="18">
        <f t="shared" si="46"/>
        <v>36.575032122852889</v>
      </c>
      <c r="BJ63" s="44">
        <f t="shared" si="23"/>
        <v>0.2137251912682879</v>
      </c>
      <c r="BK63" s="90"/>
      <c r="BL63" s="20"/>
      <c r="BM63" s="20"/>
      <c r="BN63" s="20"/>
      <c r="BO63" s="20"/>
      <c r="BP63" s="20"/>
      <c r="BQ63" s="20"/>
      <c r="BR63" s="20"/>
      <c r="BS63" s="20"/>
      <c r="BT63" s="20"/>
      <c r="BU63" s="20"/>
      <c r="BV63" s="44"/>
      <c r="BX63" s="44"/>
      <c r="BY63" s="44"/>
      <c r="CA63" s="20"/>
      <c r="CB63" s="20"/>
    </row>
    <row r="64" spans="1:80" x14ac:dyDescent="0.2">
      <c r="A64" s="94" t="s">
        <v>31</v>
      </c>
      <c r="B64" s="17" t="s">
        <v>42</v>
      </c>
      <c r="C64" s="16">
        <v>10</v>
      </c>
      <c r="D64" s="101"/>
      <c r="E64" s="95">
        <v>10</v>
      </c>
      <c r="F64" s="95">
        <v>5</v>
      </c>
      <c r="G64" s="85"/>
      <c r="H64" s="33">
        <v>665.66666666669073</v>
      </c>
      <c r="I64" s="86">
        <f t="shared" si="24"/>
        <v>39.236992881958379</v>
      </c>
      <c r="J64" s="86">
        <f t="shared" si="25"/>
        <v>389925.78446502058</v>
      </c>
      <c r="K64" s="85"/>
      <c r="L64" s="87">
        <f t="shared" si="0"/>
        <v>2.1175871723084751E-2</v>
      </c>
      <c r="M64" s="87">
        <f t="shared" si="1"/>
        <v>2.1175871723084751E-2</v>
      </c>
      <c r="N64" s="44">
        <f t="shared" si="2"/>
        <v>-1.6000000000000458</v>
      </c>
      <c r="O64" s="44">
        <f t="shared" si="3"/>
        <v>-1.6000000000000458</v>
      </c>
      <c r="P64" s="44">
        <f t="shared" si="26"/>
        <v>-1.8444027667159893E-14</v>
      </c>
      <c r="Q64" s="45"/>
      <c r="R64" s="88">
        <f t="shared" si="27"/>
        <v>3.0551848739031828E-2</v>
      </c>
      <c r="S64" s="88">
        <f t="shared" si="4"/>
        <v>0.60723071323344702</v>
      </c>
      <c r="T64" s="44">
        <f t="shared" si="28"/>
        <v>5.0316476056836571E-3</v>
      </c>
      <c r="U64" s="75">
        <f t="shared" si="5"/>
        <v>4487.8909994144706</v>
      </c>
      <c r="V64" s="44">
        <f t="shared" si="6"/>
        <v>8.9757819988289427</v>
      </c>
      <c r="W64" s="20">
        <f t="shared" si="7"/>
        <v>12.489328117802659</v>
      </c>
      <c r="X64" s="20">
        <f t="shared" si="29"/>
        <v>12.45191627926593</v>
      </c>
      <c r="Y64" s="44">
        <f t="shared" si="8"/>
        <v>25.99830487748833</v>
      </c>
      <c r="Z64" s="44">
        <f t="shared" si="30"/>
        <v>22.924922341696075</v>
      </c>
      <c r="AA64" s="44">
        <f t="shared" si="9"/>
        <v>2.449994496558518E-2</v>
      </c>
      <c r="AB64" s="45"/>
      <c r="AC64" s="86">
        <f t="shared" si="31"/>
        <v>888888.88888888888</v>
      </c>
      <c r="AD64" s="86">
        <f t="shared" si="10"/>
        <v>480000</v>
      </c>
      <c r="AE64" s="44">
        <f t="shared" si="11"/>
        <v>4.9522823387459381E-3</v>
      </c>
      <c r="AF64" s="87">
        <f t="shared" si="32"/>
        <v>1.9974431443800108E-3</v>
      </c>
      <c r="AG64" s="87">
        <f t="shared" si="33"/>
        <v>2.0621603022579231E-3</v>
      </c>
      <c r="AH64" s="44">
        <f t="shared" si="34"/>
        <v>-33.744608949298204</v>
      </c>
      <c r="AI64" s="44">
        <f t="shared" si="35"/>
        <v>-2.4379342792554271</v>
      </c>
      <c r="AJ64" s="44">
        <f t="shared" si="36"/>
        <v>0.86204968171386587</v>
      </c>
      <c r="AK64" s="45"/>
      <c r="AL64" s="86">
        <f t="shared" si="12"/>
        <v>40</v>
      </c>
      <c r="AM64" s="86">
        <f t="shared" si="13"/>
        <v>120000</v>
      </c>
      <c r="AN64" s="20"/>
      <c r="AO64" s="87">
        <f t="shared" si="14"/>
        <v>1.1282103896103894E-2</v>
      </c>
      <c r="AP64" s="87">
        <f t="shared" si="37"/>
        <v>1.1293385999999999E-2</v>
      </c>
      <c r="AQ64" s="44">
        <f t="shared" si="38"/>
        <v>3.9960039960038607</v>
      </c>
      <c r="AR64" s="44">
        <f t="shared" si="39"/>
        <v>4.9999999999998934</v>
      </c>
      <c r="AS64" s="44">
        <f t="shared" si="40"/>
        <v>2.0494455762018751E-14</v>
      </c>
      <c r="AT64" s="45"/>
      <c r="AU64" s="89">
        <f t="shared" si="15"/>
        <v>16.961908845652207</v>
      </c>
      <c r="AV64" s="86">
        <f t="shared" si="16"/>
        <v>8428.125</v>
      </c>
      <c r="AW64" s="18">
        <f t="shared" si="41"/>
        <v>197.34937336143781</v>
      </c>
      <c r="AX64" s="44">
        <f t="shared" si="42"/>
        <v>9.8674686680718935</v>
      </c>
      <c r="AY64" s="44">
        <f t="shared" si="17"/>
        <v>0</v>
      </c>
      <c r="AZ64" s="89">
        <f t="shared" si="18"/>
        <v>5.0313411481356196</v>
      </c>
      <c r="BA64" s="86">
        <f t="shared" si="19"/>
        <v>1000</v>
      </c>
      <c r="BB64" s="44">
        <f t="shared" si="43"/>
        <v>0.21107741531351473</v>
      </c>
      <c r="BC64" s="20">
        <f t="shared" si="44"/>
        <v>4.221548306270295E-3</v>
      </c>
      <c r="BD64" s="44">
        <f t="shared" si="20"/>
        <v>0</v>
      </c>
      <c r="BE64" s="45"/>
      <c r="BF64" s="85">
        <f t="shared" si="21"/>
        <v>1.3347664685283491</v>
      </c>
      <c r="BG64" s="85">
        <f t="shared" si="22"/>
        <v>9.2851637412428882</v>
      </c>
      <c r="BH64" s="18">
        <f t="shared" si="45"/>
        <v>55996.810378980386</v>
      </c>
      <c r="BI64" s="18">
        <f t="shared" si="46"/>
        <v>39.197767265286274</v>
      </c>
      <c r="BJ64" s="44">
        <f t="shared" si="23"/>
        <v>0.15688635403321616</v>
      </c>
      <c r="BK64" s="90"/>
      <c r="BL64" s="20"/>
      <c r="BM64" s="20"/>
      <c r="BN64" s="20"/>
      <c r="BO64" s="20"/>
      <c r="BP64" s="20"/>
      <c r="BQ64" s="20"/>
      <c r="BR64" s="20"/>
      <c r="BS64" s="20"/>
      <c r="BT64" s="20"/>
      <c r="BU64" s="20"/>
      <c r="BV64" s="44"/>
      <c r="BX64" s="44"/>
      <c r="BY64" s="44"/>
      <c r="CA64" s="20"/>
      <c r="CB64" s="20"/>
    </row>
    <row r="65" spans="1:80" x14ac:dyDescent="0.2">
      <c r="A65" s="94" t="s">
        <v>116</v>
      </c>
      <c r="B65" s="17" t="s">
        <v>42</v>
      </c>
      <c r="C65" s="16">
        <v>1000</v>
      </c>
      <c r="D65" s="109" t="s">
        <v>114</v>
      </c>
      <c r="E65" s="95">
        <v>1988</v>
      </c>
      <c r="F65" s="95">
        <v>1000</v>
      </c>
      <c r="G65" s="85"/>
      <c r="H65" s="33">
        <v>832.33333333334804</v>
      </c>
      <c r="I65" s="86">
        <f t="shared" si="24"/>
        <v>39.236992881958379</v>
      </c>
      <c r="J65" s="86">
        <f t="shared" si="25"/>
        <v>389925.78446502058</v>
      </c>
      <c r="K65" s="85"/>
      <c r="L65" s="87">
        <f t="shared" si="0"/>
        <v>2.1175871723084751E-2</v>
      </c>
      <c r="M65" s="87">
        <f t="shared" si="1"/>
        <v>2.1175871723084751E-2</v>
      </c>
      <c r="N65" s="44">
        <f t="shared" si="2"/>
        <v>-1.6000000000000458</v>
      </c>
      <c r="O65" s="44">
        <f t="shared" si="3"/>
        <v>-1.6000000000000458</v>
      </c>
      <c r="P65" s="44">
        <f t="shared" si="26"/>
        <v>-1.8444027667159893E-14</v>
      </c>
      <c r="Q65" s="45"/>
      <c r="R65" s="88">
        <f t="shared" si="27"/>
        <v>3.0654145684026066E-2</v>
      </c>
      <c r="S65" s="88">
        <f t="shared" si="4"/>
        <v>0.60926390760413962</v>
      </c>
      <c r="T65" s="44">
        <f t="shared" si="28"/>
        <v>1.3374409562513299E-3</v>
      </c>
      <c r="U65" s="75">
        <f t="shared" si="5"/>
        <v>4502.9178327373502</v>
      </c>
      <c r="V65" s="44">
        <f t="shared" si="6"/>
        <v>9.0058356654747005</v>
      </c>
      <c r="W65" s="20">
        <f t="shared" si="7"/>
        <v>12.489942937566672</v>
      </c>
      <c r="X65" s="20">
        <f t="shared" si="29"/>
        <v>12.452529257334577</v>
      </c>
      <c r="Y65" s="44">
        <f t="shared" si="8"/>
        <v>26.048812321102233</v>
      </c>
      <c r="Z65" s="44">
        <f t="shared" si="30"/>
        <v>22.975278490035443</v>
      </c>
      <c r="AA65" s="44">
        <f t="shared" si="9"/>
        <v>8.0673218541636536E-3</v>
      </c>
      <c r="AB65" s="45"/>
      <c r="AC65" s="86">
        <f t="shared" si="31"/>
        <v>888888.88888888888</v>
      </c>
      <c r="AD65" s="86">
        <f t="shared" si="10"/>
        <v>480000</v>
      </c>
      <c r="AE65" s="44">
        <f t="shared" si="11"/>
        <v>1.3111156435991656E-3</v>
      </c>
      <c r="AF65" s="87">
        <f t="shared" si="32"/>
        <v>1.9976577696410504E-3</v>
      </c>
      <c r="AG65" s="87">
        <f t="shared" si="33"/>
        <v>2.0623818813774201E-3</v>
      </c>
      <c r="AH65" s="44">
        <f t="shared" si="34"/>
        <v>-33.64078480986332</v>
      </c>
      <c r="AI65" s="44">
        <f t="shared" si="35"/>
        <v>-2.3307462377031296</v>
      </c>
      <c r="AJ65" s="44">
        <f t="shared" si="36"/>
        <v>0.83059852987696758</v>
      </c>
      <c r="AK65" s="45"/>
      <c r="AL65" s="86">
        <f t="shared" si="12"/>
        <v>40</v>
      </c>
      <c r="AM65" s="86">
        <f t="shared" si="13"/>
        <v>120000</v>
      </c>
      <c r="AN65" s="20"/>
      <c r="AO65" s="87">
        <f t="shared" si="14"/>
        <v>1.1282103896103894E-2</v>
      </c>
      <c r="AP65" s="87">
        <f t="shared" si="37"/>
        <v>1.1293385999999999E-2</v>
      </c>
      <c r="AQ65" s="44">
        <f t="shared" si="38"/>
        <v>3.9960039960038607</v>
      </c>
      <c r="AR65" s="44">
        <f t="shared" si="39"/>
        <v>4.9999999999998934</v>
      </c>
      <c r="AS65" s="44">
        <f t="shared" si="40"/>
        <v>2.0494455762018751E-14</v>
      </c>
      <c r="AT65" s="45"/>
      <c r="AU65" s="89">
        <f t="shared" si="15"/>
        <v>16.961908845652207</v>
      </c>
      <c r="AV65" s="86">
        <f t="shared" si="16"/>
        <v>8428.125</v>
      </c>
      <c r="AW65" s="18">
        <f t="shared" si="41"/>
        <v>197.34937336143781</v>
      </c>
      <c r="AX65" s="44">
        <f t="shared" si="42"/>
        <v>9.8674686680718935</v>
      </c>
      <c r="AY65" s="44">
        <f t="shared" si="17"/>
        <v>0</v>
      </c>
      <c r="AZ65" s="89">
        <f t="shared" si="18"/>
        <v>5.0313411481356196</v>
      </c>
      <c r="BA65" s="86">
        <f t="shared" si="19"/>
        <v>1000</v>
      </c>
      <c r="BB65" s="44">
        <f t="shared" si="43"/>
        <v>0.21107741531351473</v>
      </c>
      <c r="BC65" s="20">
        <f t="shared" si="44"/>
        <v>4.221548306270295E-3</v>
      </c>
      <c r="BD65" s="44">
        <f t="shared" si="20"/>
        <v>0</v>
      </c>
      <c r="BE65" s="45"/>
      <c r="BF65" s="85">
        <f t="shared" si="21"/>
        <v>1.4262426437481814</v>
      </c>
      <c r="BG65" s="85">
        <f t="shared" si="22"/>
        <v>9.9215082145013778</v>
      </c>
      <c r="BH65" s="18">
        <f t="shared" si="45"/>
        <v>59834.465997964449</v>
      </c>
      <c r="BI65" s="18">
        <f t="shared" si="46"/>
        <v>41.884126198575117</v>
      </c>
      <c r="BJ65" s="44">
        <f t="shared" si="23"/>
        <v>9.8668688172179428E-2</v>
      </c>
      <c r="BK65" s="90"/>
      <c r="BL65" s="20"/>
      <c r="BM65" s="20"/>
      <c r="BN65" s="20"/>
      <c r="BO65" s="20"/>
      <c r="BP65" s="20"/>
      <c r="BQ65" s="20"/>
      <c r="BR65" s="20"/>
      <c r="BS65" s="20"/>
      <c r="BT65" s="20"/>
      <c r="BU65" s="20"/>
      <c r="BV65" s="44"/>
      <c r="BX65" s="44"/>
      <c r="BY65" s="44"/>
      <c r="CA65" s="20"/>
      <c r="CB65" s="20"/>
    </row>
    <row r="66" spans="1:80" ht="17" x14ac:dyDescent="0.2">
      <c r="A66" s="110" t="s">
        <v>33</v>
      </c>
      <c r="B66" s="17" t="s">
        <v>117</v>
      </c>
      <c r="C66" s="108">
        <v>0.41</v>
      </c>
      <c r="D66" s="115"/>
      <c r="E66" s="108">
        <v>0.41199999999999998</v>
      </c>
      <c r="F66" s="108">
        <v>0.21099999999999999</v>
      </c>
      <c r="G66" s="85"/>
      <c r="H66" s="33">
        <v>1110.1111111110963</v>
      </c>
      <c r="I66" s="86">
        <f t="shared" si="24"/>
        <v>39.236992881958379</v>
      </c>
      <c r="J66" s="86">
        <f t="shared" si="25"/>
        <v>389925.78446502058</v>
      </c>
      <c r="K66" s="85"/>
      <c r="L66" s="87">
        <f t="shared" si="0"/>
        <v>2.1175871723084751E-2</v>
      </c>
      <c r="M66" s="87">
        <f t="shared" si="1"/>
        <v>2.1175871723084751E-2</v>
      </c>
      <c r="N66" s="44">
        <f t="shared" si="2"/>
        <v>-1.6000000000000458</v>
      </c>
      <c r="O66" s="44">
        <f t="shared" si="3"/>
        <v>-1.6000000000000458</v>
      </c>
      <c r="P66" s="44">
        <f t="shared" si="26"/>
        <v>-1.8444027667159893E-14</v>
      </c>
      <c r="Q66" s="45"/>
      <c r="R66" s="88">
        <f t="shared" si="27"/>
        <v>3.0687111356394951E-2</v>
      </c>
      <c r="S66" s="88">
        <f t="shared" si="4"/>
        <v>0.60991911406695531</v>
      </c>
      <c r="T66" s="44">
        <f t="shared" si="28"/>
        <v>1.4696546282359454E-4</v>
      </c>
      <c r="U66" s="75">
        <f t="shared" si="5"/>
        <v>4507.7603005558349</v>
      </c>
      <c r="V66" s="44">
        <f t="shared" si="6"/>
        <v>9.0155206011116693</v>
      </c>
      <c r="W66" s="20">
        <f t="shared" si="7"/>
        <v>12.490200906579259</v>
      </c>
      <c r="X66" s="20">
        <f t="shared" si="29"/>
        <v>12.452786453599826</v>
      </c>
      <c r="Y66" s="44">
        <f t="shared" si="8"/>
        <v>26.070004475486243</v>
      </c>
      <c r="Z66" s="44">
        <f t="shared" si="30"/>
        <v>22.996407163225598</v>
      </c>
      <c r="AA66" s="44">
        <f t="shared" si="9"/>
        <v>1.1724433769769564E-3</v>
      </c>
      <c r="AB66" s="45"/>
      <c r="AC66" s="86">
        <f t="shared" si="31"/>
        <v>888888.88888888888</v>
      </c>
      <c r="AD66" s="86">
        <f t="shared" si="10"/>
        <v>480000</v>
      </c>
      <c r="AE66" s="44">
        <f t="shared" si="11"/>
        <v>1.4312000305249334E-4</v>
      </c>
      <c r="AF66" s="87">
        <f t="shared" si="32"/>
        <v>1.9979982189873582E-3</v>
      </c>
      <c r="AG66" s="87">
        <f t="shared" si="33"/>
        <v>2.0627333612825483E-3</v>
      </c>
      <c r="AH66" s="44">
        <f t="shared" si="34"/>
        <v>-33.476093756115375</v>
      </c>
      <c r="AI66" s="44">
        <f t="shared" si="35"/>
        <v>-2.160719193813665</v>
      </c>
      <c r="AJ66" s="44">
        <f t="shared" si="36"/>
        <v>0.78070913646793294</v>
      </c>
      <c r="AK66" s="45"/>
      <c r="AL66" s="86">
        <f t="shared" si="12"/>
        <v>40</v>
      </c>
      <c r="AM66" s="86">
        <f t="shared" si="13"/>
        <v>120000</v>
      </c>
      <c r="AN66" s="20"/>
      <c r="AO66" s="87">
        <f t="shared" si="14"/>
        <v>1.1282103896103894E-2</v>
      </c>
      <c r="AP66" s="87">
        <f t="shared" si="37"/>
        <v>1.1293385999999999E-2</v>
      </c>
      <c r="AQ66" s="44">
        <f t="shared" si="38"/>
        <v>3.9960039960038607</v>
      </c>
      <c r="AR66" s="44">
        <f t="shared" si="39"/>
        <v>4.9999999999998934</v>
      </c>
      <c r="AS66" s="44">
        <f t="shared" si="40"/>
        <v>2.0494455762018751E-14</v>
      </c>
      <c r="AT66" s="45"/>
      <c r="AU66" s="89">
        <f t="shared" si="15"/>
        <v>16.961908845652207</v>
      </c>
      <c r="AV66" s="86">
        <f t="shared" si="16"/>
        <v>8428.125</v>
      </c>
      <c r="AW66" s="18">
        <f t="shared" si="41"/>
        <v>197.34937336143781</v>
      </c>
      <c r="AX66" s="44">
        <f t="shared" si="42"/>
        <v>9.8674686680718935</v>
      </c>
      <c r="AY66" s="44">
        <f t="shared" si="17"/>
        <v>0</v>
      </c>
      <c r="AZ66" s="89">
        <f t="shared" si="18"/>
        <v>5.0313411481356196</v>
      </c>
      <c r="BA66" s="86">
        <f t="shared" si="19"/>
        <v>1000</v>
      </c>
      <c r="BB66" s="44">
        <f t="shared" si="43"/>
        <v>0.21107741531351473</v>
      </c>
      <c r="BC66" s="20">
        <f t="shared" si="44"/>
        <v>4.221548306270295E-3</v>
      </c>
      <c r="BD66" s="44">
        <f t="shared" si="20"/>
        <v>0</v>
      </c>
      <c r="BE66" s="45"/>
      <c r="BF66" s="85">
        <f t="shared" si="21"/>
        <v>1.50970449600488</v>
      </c>
      <c r="BG66" s="85">
        <f t="shared" si="22"/>
        <v>10.502101885846223</v>
      </c>
      <c r="BH66" s="18">
        <f t="shared" si="45"/>
        <v>63335.900612103134</v>
      </c>
      <c r="BI66" s="18">
        <f t="shared" si="46"/>
        <v>44.335130428472198</v>
      </c>
      <c r="BJ66" s="44">
        <f t="shared" si="23"/>
        <v>4.5551532637999874E-2</v>
      </c>
      <c r="BK66" s="90"/>
      <c r="BL66" s="20"/>
      <c r="BM66" s="20"/>
      <c r="BN66" s="20"/>
      <c r="BO66" s="20"/>
      <c r="BP66" s="20"/>
      <c r="BQ66" s="20"/>
      <c r="BR66" s="20"/>
      <c r="BS66" s="20"/>
      <c r="BT66" s="20"/>
      <c r="BU66" s="20"/>
      <c r="BV66" s="44"/>
      <c r="BX66" s="44"/>
      <c r="BY66" s="44"/>
      <c r="CA66" s="20"/>
      <c r="CB66" s="20"/>
    </row>
    <row r="67" spans="1:80" x14ac:dyDescent="0.2">
      <c r="A67" s="116" t="s">
        <v>34</v>
      </c>
      <c r="B67" s="103" t="s">
        <v>117</v>
      </c>
      <c r="C67" s="117">
        <v>4.0000000000000001E-3</v>
      </c>
      <c r="D67" s="112" t="s">
        <v>114</v>
      </c>
      <c r="E67" s="117">
        <v>8.0000000000000002E-3</v>
      </c>
      <c r="F67" s="117">
        <v>4.0000000000000001E-3</v>
      </c>
      <c r="G67" s="85"/>
      <c r="H67" s="33">
        <v>1665.6666666665419</v>
      </c>
      <c r="I67" s="86">
        <f t="shared" si="24"/>
        <v>39.236992881958379</v>
      </c>
      <c r="J67" s="86">
        <f t="shared" si="25"/>
        <v>389925.78446502058</v>
      </c>
      <c r="K67" s="85"/>
      <c r="L67" s="87">
        <f t="shared" si="0"/>
        <v>2.1175871723084751E-2</v>
      </c>
      <c r="M67" s="87">
        <f t="shared" si="1"/>
        <v>2.1175871723084751E-2</v>
      </c>
      <c r="N67" s="44">
        <f t="shared" si="2"/>
        <v>-1.6000000000000458</v>
      </c>
      <c r="O67" s="44">
        <f t="shared" si="3"/>
        <v>-1.6000000000000458</v>
      </c>
      <c r="P67" s="44">
        <f t="shared" si="26"/>
        <v>-1.8444027667159893E-14</v>
      </c>
      <c r="Q67" s="45"/>
      <c r="R67" s="88">
        <f t="shared" si="27"/>
        <v>3.0691131863293555E-2</v>
      </c>
      <c r="S67" s="88">
        <f t="shared" si="4"/>
        <v>0.60999902331540867</v>
      </c>
      <c r="T67" s="44">
        <f t="shared" si="28"/>
        <v>1.7745842520707929E-6</v>
      </c>
      <c r="U67" s="75">
        <f t="shared" si="5"/>
        <v>4508.3508899135359</v>
      </c>
      <c r="V67" s="44">
        <f t="shared" si="6"/>
        <v>9.0167017798270681</v>
      </c>
      <c r="W67" s="20">
        <f t="shared" si="7"/>
        <v>12.490243986821929</v>
      </c>
      <c r="X67" s="20">
        <f t="shared" si="29"/>
        <v>12.452829404795436</v>
      </c>
      <c r="Y67" s="44">
        <f t="shared" si="8"/>
        <v>26.073543517421527</v>
      </c>
      <c r="Z67" s="44">
        <f t="shared" si="30"/>
        <v>22.999935603944976</v>
      </c>
      <c r="AA67" s="44">
        <f t="shared" si="9"/>
        <v>2.1014238246027069E-5</v>
      </c>
      <c r="AB67" s="45"/>
      <c r="AC67" s="86">
        <f t="shared" si="31"/>
        <v>888888.88888888888</v>
      </c>
      <c r="AD67" s="86">
        <f t="shared" si="10"/>
        <v>480000</v>
      </c>
      <c r="AE67" s="44">
        <f t="shared" si="11"/>
        <v>1.7053715440569197E-6</v>
      </c>
      <c r="AF67" s="87">
        <f t="shared" si="32"/>
        <v>1.9986189992834153E-3</v>
      </c>
      <c r="AG67" s="87">
        <f t="shared" si="33"/>
        <v>2.0633742548601978E-3</v>
      </c>
      <c r="AH67" s="44">
        <f t="shared" si="34"/>
        <v>-33.175793690298327</v>
      </c>
      <c r="AI67" s="44">
        <f t="shared" si="35"/>
        <v>-1.850689405864081</v>
      </c>
      <c r="AJ67" s="44">
        <f t="shared" si="36"/>
        <v>0.68974008998147129</v>
      </c>
      <c r="AK67" s="45"/>
      <c r="AL67" s="86">
        <f t="shared" si="12"/>
        <v>40</v>
      </c>
      <c r="AM67" s="86">
        <f t="shared" si="13"/>
        <v>120000</v>
      </c>
      <c r="AN67" s="20"/>
      <c r="AO67" s="87">
        <f t="shared" si="14"/>
        <v>1.1282103896103894E-2</v>
      </c>
      <c r="AP67" s="87">
        <f t="shared" si="37"/>
        <v>1.1293385999999999E-2</v>
      </c>
      <c r="AQ67" s="44">
        <f t="shared" si="38"/>
        <v>3.9960039960038607</v>
      </c>
      <c r="AR67" s="44">
        <f t="shared" si="39"/>
        <v>4.9999999999998934</v>
      </c>
      <c r="AS67" s="44">
        <f t="shared" si="40"/>
        <v>2.0494455762018751E-14</v>
      </c>
      <c r="AT67" s="45"/>
      <c r="AU67" s="89">
        <f t="shared" si="15"/>
        <v>16.961908845652207</v>
      </c>
      <c r="AV67" s="86">
        <f t="shared" si="16"/>
        <v>8428.125</v>
      </c>
      <c r="AW67" s="18">
        <f t="shared" si="41"/>
        <v>197.34937336143781</v>
      </c>
      <c r="AX67" s="44">
        <f t="shared" si="42"/>
        <v>9.8674686680718935</v>
      </c>
      <c r="AY67" s="44">
        <f t="shared" si="17"/>
        <v>0</v>
      </c>
      <c r="AZ67" s="89">
        <f t="shared" si="18"/>
        <v>5.0313411481356196</v>
      </c>
      <c r="BA67" s="86">
        <f t="shared" si="19"/>
        <v>1000</v>
      </c>
      <c r="BB67" s="44">
        <f t="shared" si="43"/>
        <v>0.21107741531351473</v>
      </c>
      <c r="BC67" s="20">
        <f t="shared" si="44"/>
        <v>4.221548306270295E-3</v>
      </c>
      <c r="BD67" s="44">
        <f t="shared" si="20"/>
        <v>0</v>
      </c>
      <c r="BE67" s="45"/>
      <c r="BF67" s="85">
        <f t="shared" si="21"/>
        <v>1.5660239532025064</v>
      </c>
      <c r="BG67" s="85">
        <f t="shared" si="22"/>
        <v>10.893882316526689</v>
      </c>
      <c r="BH67" s="18">
        <f t="shared" si="45"/>
        <v>65698.64348863023</v>
      </c>
      <c r="BI67" s="18">
        <f t="shared" si="46"/>
        <v>45.989050442041169</v>
      </c>
      <c r="BJ67" s="44">
        <f t="shared" si="23"/>
        <v>9.7084583869512884E-3</v>
      </c>
      <c r="BK67" s="90"/>
      <c r="BL67" s="20"/>
      <c r="BM67" s="20"/>
      <c r="BN67" s="20"/>
      <c r="BO67" s="20"/>
      <c r="BP67" s="20"/>
      <c r="BQ67" s="20"/>
      <c r="BR67" s="20"/>
      <c r="BS67" s="20"/>
      <c r="BT67" s="20"/>
      <c r="BU67" s="20"/>
      <c r="BV67" s="44"/>
      <c r="BX67" s="44"/>
      <c r="BY67" s="44"/>
      <c r="CA67" s="20"/>
      <c r="CB67" s="20"/>
    </row>
    <row r="68" spans="1:80" x14ac:dyDescent="0.2">
      <c r="A68" s="94" t="s">
        <v>35</v>
      </c>
      <c r="B68" s="17" t="s">
        <v>42</v>
      </c>
      <c r="C68" s="16">
        <v>0.01</v>
      </c>
      <c r="D68" s="109" t="s">
        <v>118</v>
      </c>
      <c r="E68" s="108">
        <v>0.01</v>
      </c>
      <c r="F68" s="101">
        <v>1.6</v>
      </c>
      <c r="G68" s="85"/>
      <c r="H68" s="33">
        <v>2856.142857143172</v>
      </c>
      <c r="I68" s="86">
        <f t="shared" si="24"/>
        <v>39.236992881958379</v>
      </c>
      <c r="J68" s="86">
        <f t="shared" si="25"/>
        <v>389925.78446502058</v>
      </c>
      <c r="K68" s="85"/>
      <c r="L68" s="87">
        <f t="shared" si="0"/>
        <v>2.1175871723084751E-2</v>
      </c>
      <c r="M68" s="87">
        <f t="shared" si="1"/>
        <v>2.1175871723084751E-2</v>
      </c>
      <c r="N68" s="44">
        <f t="shared" si="2"/>
        <v>-1.6000000000000458</v>
      </c>
      <c r="O68" s="44">
        <f t="shared" si="3"/>
        <v>-1.6000000000000458</v>
      </c>
      <c r="P68" s="44">
        <f t="shared" si="26"/>
        <v>-1.8444027667159893E-14</v>
      </c>
      <c r="Q68" s="45"/>
      <c r="R68" s="88">
        <f t="shared" si="27"/>
        <v>3.0691180999815014E-2</v>
      </c>
      <c r="S68" s="88">
        <f t="shared" si="4"/>
        <v>0.60999999992422949</v>
      </c>
      <c r="T68" s="44">
        <f t="shared" si="28"/>
        <v>1.3767099329162609E-10</v>
      </c>
      <c r="U68" s="75">
        <f t="shared" si="5"/>
        <v>4508.3581077861509</v>
      </c>
      <c r="V68" s="44">
        <f t="shared" si="6"/>
        <v>9.0167162155723002</v>
      </c>
      <c r="W68" s="20">
        <f t="shared" si="7"/>
        <v>12.490244772958141</v>
      </c>
      <c r="X68" s="20">
        <f t="shared" si="29"/>
        <v>12.452830188576772</v>
      </c>
      <c r="Y68" s="44">
        <f t="shared" si="8"/>
        <v>26.073608098511336</v>
      </c>
      <c r="Z68" s="44">
        <f t="shared" si="30"/>
        <v>22.999999991581753</v>
      </c>
      <c r="AA68" s="44">
        <f t="shared" si="9"/>
        <v>2.7470249016185098E-9</v>
      </c>
      <c r="AB68" s="45"/>
      <c r="AC68" s="86">
        <f t="shared" si="31"/>
        <v>888888.88888888888</v>
      </c>
      <c r="AD68" s="86">
        <f t="shared" si="10"/>
        <v>480000</v>
      </c>
      <c r="AE68" s="44">
        <f t="shared" si="11"/>
        <v>1.2859265799327935E-10</v>
      </c>
      <c r="AF68" s="87">
        <f t="shared" si="32"/>
        <v>1.999716435254702E-3</v>
      </c>
      <c r="AG68" s="87">
        <f t="shared" si="33"/>
        <v>2.064507247756954E-3</v>
      </c>
      <c r="AH68" s="44">
        <f t="shared" si="34"/>
        <v>-32.644913286231649</v>
      </c>
      <c r="AI68" s="44">
        <f t="shared" si="35"/>
        <v>-1.3026084767057133</v>
      </c>
      <c r="AJ68" s="44">
        <f t="shared" si="36"/>
        <v>0.52892199616960045</v>
      </c>
      <c r="AK68" s="45"/>
      <c r="AL68" s="86">
        <f t="shared" si="12"/>
        <v>40</v>
      </c>
      <c r="AM68" s="86">
        <f t="shared" si="13"/>
        <v>120000</v>
      </c>
      <c r="AN68" s="20"/>
      <c r="AO68" s="87">
        <f t="shared" si="14"/>
        <v>1.1282103896103894E-2</v>
      </c>
      <c r="AP68" s="87">
        <f t="shared" si="37"/>
        <v>1.1293385999999999E-2</v>
      </c>
      <c r="AQ68" s="44">
        <f t="shared" si="38"/>
        <v>3.9960039960038607</v>
      </c>
      <c r="AR68" s="44">
        <f t="shared" si="39"/>
        <v>4.9999999999998934</v>
      </c>
      <c r="AS68" s="44">
        <f t="shared" si="40"/>
        <v>2.0494455762018751E-14</v>
      </c>
      <c r="AT68" s="45"/>
      <c r="AU68" s="89">
        <f t="shared" si="15"/>
        <v>16.961908845652207</v>
      </c>
      <c r="AV68" s="86">
        <f t="shared" si="16"/>
        <v>8428.125</v>
      </c>
      <c r="AW68" s="18">
        <f t="shared" si="41"/>
        <v>197.34937336143781</v>
      </c>
      <c r="AX68" s="44">
        <f t="shared" si="42"/>
        <v>9.8674686680718935</v>
      </c>
      <c r="AY68" s="44">
        <f t="shared" si="17"/>
        <v>0</v>
      </c>
      <c r="AZ68" s="89">
        <f t="shared" si="18"/>
        <v>5.0313411481356196</v>
      </c>
      <c r="BA68" s="86">
        <f t="shared" si="19"/>
        <v>1000</v>
      </c>
      <c r="BB68" s="44">
        <f t="shared" si="43"/>
        <v>0.21107741531351473</v>
      </c>
      <c r="BC68" s="20">
        <f t="shared" si="44"/>
        <v>4.221548306270295E-3</v>
      </c>
      <c r="BD68" s="44">
        <f t="shared" si="20"/>
        <v>0</v>
      </c>
      <c r="BE68" s="45"/>
      <c r="BF68" s="85">
        <f t="shared" si="21"/>
        <v>1.5807230103862981</v>
      </c>
      <c r="BG68" s="85">
        <f t="shared" si="22"/>
        <v>10.996134774924059</v>
      </c>
      <c r="BH68" s="18">
        <f t="shared" si="45"/>
        <v>66315.305906572219</v>
      </c>
      <c r="BI68" s="18">
        <f t="shared" si="46"/>
        <v>46.420714134600551</v>
      </c>
      <c r="BJ68" s="44">
        <f t="shared" si="23"/>
        <v>3.5362039179279457E-4</v>
      </c>
      <c r="BK68" s="90"/>
      <c r="BL68" s="20"/>
      <c r="BM68" s="20"/>
      <c r="BN68" s="20"/>
      <c r="BO68" s="20"/>
      <c r="BP68" s="20"/>
      <c r="BQ68" s="20"/>
      <c r="BR68" s="20"/>
      <c r="BS68" s="20"/>
      <c r="BT68" s="20"/>
      <c r="BU68" s="20"/>
      <c r="BV68" s="44"/>
      <c r="BX68" s="44"/>
      <c r="BY68" s="44"/>
      <c r="CA68" s="20"/>
      <c r="CB68" s="20"/>
    </row>
    <row r="69" spans="1:80" x14ac:dyDescent="0.2">
      <c r="A69" s="94" t="s">
        <v>36</v>
      </c>
      <c r="B69" s="17" t="s">
        <v>42</v>
      </c>
      <c r="C69" s="16">
        <v>11</v>
      </c>
      <c r="D69" s="109" t="s">
        <v>119</v>
      </c>
      <c r="E69" s="108">
        <v>7.0000000000000007E-2</v>
      </c>
      <c r="F69" s="101">
        <v>11</v>
      </c>
      <c r="G69" s="85"/>
      <c r="H69" s="33">
        <v>4999.0000000005502</v>
      </c>
      <c r="I69" s="86">
        <f t="shared" si="24"/>
        <v>39.236992881958379</v>
      </c>
      <c r="J69" s="86">
        <f t="shared" si="25"/>
        <v>389925.78446502058</v>
      </c>
      <c r="K69" s="85"/>
      <c r="L69" s="87">
        <f t="shared" si="0"/>
        <v>2.1175871723084751E-2</v>
      </c>
      <c r="M69" s="87">
        <f t="shared" si="1"/>
        <v>2.1175871723084751E-2</v>
      </c>
      <c r="N69" s="44">
        <f t="shared" si="2"/>
        <v>-1.6000000000000458</v>
      </c>
      <c r="O69" s="44">
        <f t="shared" si="3"/>
        <v>-1.6000000000000458</v>
      </c>
      <c r="P69" s="44">
        <f t="shared" si="26"/>
        <v>-1.8444027667159893E-14</v>
      </c>
      <c r="Q69" s="45"/>
      <c r="R69" s="88">
        <f t="shared" si="27"/>
        <v>3.0691181003627284E-2</v>
      </c>
      <c r="S69" s="88">
        <f t="shared" si="4"/>
        <v>0.61</v>
      </c>
      <c r="T69" s="44">
        <f t="shared" si="28"/>
        <v>0</v>
      </c>
      <c r="U69" s="75">
        <f t="shared" si="5"/>
        <v>4508.3581083461522</v>
      </c>
      <c r="V69" s="44">
        <f t="shared" si="6"/>
        <v>9.0167162166923021</v>
      </c>
      <c r="W69" s="20">
        <f t="shared" si="7"/>
        <v>12.490244773060919</v>
      </c>
      <c r="X69" s="20">
        <f t="shared" si="29"/>
        <v>12.452830188679243</v>
      </c>
      <c r="Y69" s="44">
        <f t="shared" si="8"/>
        <v>26.07360810695458</v>
      </c>
      <c r="Z69" s="44">
        <f t="shared" si="30"/>
        <v>22.999999999999908</v>
      </c>
      <c r="AA69" s="44">
        <f t="shared" si="9"/>
        <v>0</v>
      </c>
      <c r="AB69" s="45"/>
      <c r="AC69" s="86">
        <f t="shared" si="31"/>
        <v>888888.88888888888</v>
      </c>
      <c r="AD69" s="86">
        <f t="shared" si="10"/>
        <v>480000</v>
      </c>
      <c r="AE69" s="44">
        <f t="shared" si="11"/>
        <v>4.8812501363299357E-18</v>
      </c>
      <c r="AF69" s="87">
        <f t="shared" si="32"/>
        <v>2.0010876009303618E-3</v>
      </c>
      <c r="AG69" s="87">
        <f t="shared" si="33"/>
        <v>2.0659228392005059E-3</v>
      </c>
      <c r="AH69" s="44">
        <f t="shared" si="34"/>
        <v>-31.981617196999878</v>
      </c>
      <c r="AI69" s="44">
        <f t="shared" si="35"/>
        <v>-0.61782159418244387</v>
      </c>
      <c r="AJ69" s="44">
        <f t="shared" si="36"/>
        <v>0.32799159473440487</v>
      </c>
      <c r="AK69" s="45"/>
      <c r="AL69" s="86">
        <f t="shared" si="12"/>
        <v>40</v>
      </c>
      <c r="AM69" s="86">
        <f t="shared" si="13"/>
        <v>120000</v>
      </c>
      <c r="AN69" s="20"/>
      <c r="AO69" s="87">
        <f t="shared" si="14"/>
        <v>1.1282103896103894E-2</v>
      </c>
      <c r="AP69" s="87">
        <f t="shared" si="37"/>
        <v>1.1293385999999999E-2</v>
      </c>
      <c r="AQ69" s="44">
        <f t="shared" si="38"/>
        <v>3.9960039960038607</v>
      </c>
      <c r="AR69" s="44">
        <f t="shared" si="39"/>
        <v>4.9999999999998934</v>
      </c>
      <c r="AS69" s="44">
        <f t="shared" si="40"/>
        <v>2.0494455762018751E-14</v>
      </c>
      <c r="AT69" s="45"/>
      <c r="AU69" s="89">
        <f t="shared" si="15"/>
        <v>16.961908845652207</v>
      </c>
      <c r="AV69" s="86">
        <f t="shared" si="16"/>
        <v>8428.125</v>
      </c>
      <c r="AW69" s="18">
        <f t="shared" si="41"/>
        <v>197.34937336143781</v>
      </c>
      <c r="AX69" s="44">
        <f t="shared" si="42"/>
        <v>9.8674686680718935</v>
      </c>
      <c r="AY69" s="44">
        <f t="shared" si="17"/>
        <v>0</v>
      </c>
      <c r="AZ69" s="89">
        <f t="shared" si="18"/>
        <v>5.0313411481356196</v>
      </c>
      <c r="BA69" s="86">
        <f t="shared" si="19"/>
        <v>1000</v>
      </c>
      <c r="BB69" s="44">
        <f t="shared" si="43"/>
        <v>0.21107741531351473</v>
      </c>
      <c r="BC69" s="20">
        <f t="shared" si="44"/>
        <v>4.221548306270295E-3</v>
      </c>
      <c r="BD69" s="44">
        <f t="shared" si="20"/>
        <v>0</v>
      </c>
      <c r="BE69" s="45"/>
      <c r="BF69" s="85">
        <f t="shared" si="21"/>
        <v>1.5812772167178419</v>
      </c>
      <c r="BG69" s="85">
        <f t="shared" si="22"/>
        <v>10.999990053473638</v>
      </c>
      <c r="BH69" s="18">
        <f t="shared" si="45"/>
        <v>66338.556256045355</v>
      </c>
      <c r="BI69" s="18">
        <f t="shared" si="46"/>
        <v>46.436989379231733</v>
      </c>
      <c r="BJ69" s="44">
        <f t="shared" si="23"/>
        <v>9.0998440708678493E-7</v>
      </c>
      <c r="BK69" s="90"/>
      <c r="BL69" s="20"/>
      <c r="BM69" s="20"/>
      <c r="BN69" s="20"/>
      <c r="BO69" s="20"/>
      <c r="BP69" s="20"/>
      <c r="BQ69" s="20"/>
      <c r="BR69" s="20"/>
      <c r="BS69" s="20"/>
      <c r="BT69" s="20"/>
      <c r="BU69" s="20"/>
      <c r="BV69" s="44"/>
      <c r="BX69" s="44"/>
      <c r="BY69" s="44"/>
      <c r="CA69" s="20"/>
      <c r="CB69" s="20"/>
    </row>
    <row r="70" spans="1:80" ht="17" x14ac:dyDescent="0.2">
      <c r="A70" s="118" t="s">
        <v>37</v>
      </c>
      <c r="B70" s="17" t="s">
        <v>44</v>
      </c>
      <c r="C70" s="95">
        <v>412</v>
      </c>
      <c r="D70" s="109" t="s">
        <v>118</v>
      </c>
      <c r="E70" s="95">
        <v>412</v>
      </c>
      <c r="F70" s="95">
        <v>66339</v>
      </c>
      <c r="G70" s="85"/>
      <c r="H70" s="33">
        <v>9999.0000000011005</v>
      </c>
      <c r="I70" s="86">
        <f t="shared" si="24"/>
        <v>39.236992881958379</v>
      </c>
      <c r="J70" s="86">
        <f t="shared" si="25"/>
        <v>389925.78446502058</v>
      </c>
      <c r="K70" s="85"/>
      <c r="L70" s="87">
        <f t="shared" si="0"/>
        <v>2.1175871723084751E-2</v>
      </c>
      <c r="M70" s="87">
        <f t="shared" si="1"/>
        <v>2.1175871723084751E-2</v>
      </c>
      <c r="N70" s="44">
        <f t="shared" si="2"/>
        <v>-1.6000000000000458</v>
      </c>
      <c r="O70" s="44">
        <f t="shared" si="3"/>
        <v>-1.6000000000000458</v>
      </c>
      <c r="P70" s="44">
        <f t="shared" si="26"/>
        <v>-1.8444027667159893E-14</v>
      </c>
      <c r="Q70" s="45"/>
      <c r="R70" s="88">
        <f t="shared" si="27"/>
        <v>3.0691181003627284E-2</v>
      </c>
      <c r="S70" s="88">
        <f t="shared" si="4"/>
        <v>0.61</v>
      </c>
      <c r="T70" s="44">
        <f t="shared" si="28"/>
        <v>0</v>
      </c>
      <c r="U70" s="75">
        <f t="shared" si="5"/>
        <v>4508.3581083461522</v>
      </c>
      <c r="V70" s="44">
        <f t="shared" si="6"/>
        <v>9.0167162166923021</v>
      </c>
      <c r="W70" s="20">
        <f t="shared" si="7"/>
        <v>12.490244773060919</v>
      </c>
      <c r="X70" s="20">
        <f t="shared" si="29"/>
        <v>12.452830188679243</v>
      </c>
      <c r="Y70" s="44">
        <f t="shared" si="8"/>
        <v>26.07360810695458</v>
      </c>
      <c r="Z70" s="44">
        <f t="shared" si="30"/>
        <v>22.999999999999908</v>
      </c>
      <c r="AA70" s="44">
        <f t="shared" si="9"/>
        <v>0</v>
      </c>
      <c r="AB70" s="45"/>
      <c r="AC70" s="86">
        <f t="shared" si="31"/>
        <v>888888.88888888888</v>
      </c>
      <c r="AD70" s="86">
        <f t="shared" si="10"/>
        <v>480000</v>
      </c>
      <c r="AE70" s="44">
        <f t="shared" si="11"/>
        <v>2.3637369291116118E-35</v>
      </c>
      <c r="AF70" s="87">
        <f t="shared" si="32"/>
        <v>2.0025918819003932E-3</v>
      </c>
      <c r="AG70" s="87">
        <f t="shared" si="33"/>
        <v>2.0674758588739663E-3</v>
      </c>
      <c r="AH70" s="44">
        <f t="shared" si="34"/>
        <v>-31.253927099267997</v>
      </c>
      <c r="AI70" s="44">
        <f t="shared" si="35"/>
        <v>0.133445662716003</v>
      </c>
      <c r="AJ70" s="44">
        <f t="shared" si="36"/>
        <v>0.10755449909743686</v>
      </c>
      <c r="AK70" s="45"/>
      <c r="AL70" s="86">
        <f t="shared" si="12"/>
        <v>40</v>
      </c>
      <c r="AM70" s="86">
        <f t="shared" si="13"/>
        <v>120000</v>
      </c>
      <c r="AN70" s="20"/>
      <c r="AO70" s="87">
        <f t="shared" si="14"/>
        <v>1.1282103896103894E-2</v>
      </c>
      <c r="AP70" s="87">
        <f t="shared" si="37"/>
        <v>1.1293385999999999E-2</v>
      </c>
      <c r="AQ70" s="44">
        <f t="shared" si="38"/>
        <v>3.9960039960038607</v>
      </c>
      <c r="AR70" s="44">
        <f t="shared" si="39"/>
        <v>4.9999999999998934</v>
      </c>
      <c r="AS70" s="44">
        <f t="shared" si="40"/>
        <v>2.0494455762018751E-14</v>
      </c>
      <c r="AT70" s="45"/>
      <c r="AU70" s="89">
        <f t="shared" si="15"/>
        <v>16.961908845652207</v>
      </c>
      <c r="AV70" s="86">
        <f t="shared" si="16"/>
        <v>8428.125</v>
      </c>
      <c r="AW70" s="18">
        <f t="shared" si="41"/>
        <v>197.34937336143781</v>
      </c>
      <c r="AX70" s="44">
        <f t="shared" si="42"/>
        <v>9.8674686680718935</v>
      </c>
      <c r="AY70" s="44">
        <f t="shared" si="17"/>
        <v>0</v>
      </c>
      <c r="AZ70" s="89">
        <f t="shared" si="18"/>
        <v>5.0313411481356196</v>
      </c>
      <c r="BA70" s="86">
        <f t="shared" si="19"/>
        <v>1000</v>
      </c>
      <c r="BB70" s="44">
        <f t="shared" si="43"/>
        <v>0.21107741531351473</v>
      </c>
      <c r="BC70" s="20">
        <f t="shared" si="44"/>
        <v>4.221548306270295E-3</v>
      </c>
      <c r="BD70" s="44">
        <f t="shared" si="20"/>
        <v>0</v>
      </c>
      <c r="BE70" s="45"/>
      <c r="BF70" s="85">
        <f t="shared" si="21"/>
        <v>1.5812786465556119</v>
      </c>
      <c r="BG70" s="85">
        <f t="shared" si="22"/>
        <v>10.999999999990974</v>
      </c>
      <c r="BH70" s="18">
        <f t="shared" si="45"/>
        <v>66338.616241335927</v>
      </c>
      <c r="BI70" s="18">
        <f t="shared" si="46"/>
        <v>46.437031368935145</v>
      </c>
      <c r="BJ70" s="44">
        <f t="shared" si="23"/>
        <v>8.2573733249103057E-13</v>
      </c>
      <c r="BK70" s="90"/>
      <c r="BL70" s="20"/>
      <c r="BM70" s="20"/>
      <c r="BN70" s="20"/>
      <c r="BO70" s="20"/>
      <c r="BP70" s="20"/>
      <c r="BQ70" s="20"/>
      <c r="BR70" s="20"/>
      <c r="BS70" s="20"/>
      <c r="BT70" s="20"/>
      <c r="BU70" s="20"/>
      <c r="BV70" s="44"/>
      <c r="BX70" s="44"/>
      <c r="BY70" s="44"/>
      <c r="CA70" s="20"/>
      <c r="CB70" s="20"/>
    </row>
    <row r="71" spans="1:80" ht="17" x14ac:dyDescent="0.2">
      <c r="A71" s="119" t="s">
        <v>38</v>
      </c>
      <c r="B71" s="103" t="s">
        <v>44</v>
      </c>
      <c r="C71" s="107">
        <v>102.7</v>
      </c>
      <c r="D71" s="112" t="s">
        <v>119</v>
      </c>
      <c r="E71" s="106">
        <v>0.28999999999999998</v>
      </c>
      <c r="F71" s="107">
        <v>46.4</v>
      </c>
      <c r="G71" s="85"/>
      <c r="H71" s="33">
        <v>15000</v>
      </c>
      <c r="I71" s="86">
        <f t="shared" si="24"/>
        <v>39.236992881958379</v>
      </c>
      <c r="J71" s="86">
        <f t="shared" si="25"/>
        <v>389925.78446502058</v>
      </c>
      <c r="K71" s="85"/>
      <c r="L71" s="87">
        <f t="shared" si="0"/>
        <v>2.1175871723084751E-2</v>
      </c>
      <c r="M71" s="87">
        <f t="shared" si="1"/>
        <v>2.1175871723084751E-2</v>
      </c>
      <c r="N71" s="44">
        <f t="shared" si="2"/>
        <v>-1.6000000000000458</v>
      </c>
      <c r="O71" s="44">
        <f t="shared" si="3"/>
        <v>-1.6000000000000458</v>
      </c>
      <c r="P71" s="44">
        <f t="shared" si="26"/>
        <v>-1.8444027667159893E-14</v>
      </c>
      <c r="Q71" s="45"/>
      <c r="R71" s="88">
        <f t="shared" si="27"/>
        <v>3.0691181003627284E-2</v>
      </c>
      <c r="S71" s="88">
        <f t="shared" si="4"/>
        <v>0.61</v>
      </c>
      <c r="T71" s="44">
        <f t="shared" si="28"/>
        <v>0</v>
      </c>
      <c r="U71" s="75">
        <f t="shared" si="5"/>
        <v>4508.3581083461522</v>
      </c>
      <c r="V71" s="44">
        <f t="shared" si="6"/>
        <v>9.0167162166923021</v>
      </c>
      <c r="W71" s="20">
        <f t="shared" si="7"/>
        <v>12.490244773060919</v>
      </c>
      <c r="X71" s="20">
        <f t="shared" si="29"/>
        <v>12.452830188679243</v>
      </c>
      <c r="Y71" s="44">
        <f t="shared" si="8"/>
        <v>26.07360810695458</v>
      </c>
      <c r="Z71" s="44">
        <f t="shared" si="30"/>
        <v>22.999999999999908</v>
      </c>
      <c r="AA71" s="44">
        <f t="shared" si="9"/>
        <v>0</v>
      </c>
      <c r="AB71" s="45"/>
      <c r="AC71" s="86">
        <f t="shared" si="31"/>
        <v>888888.88888888888</v>
      </c>
      <c r="AD71" s="86">
        <f t="shared" si="10"/>
        <v>480000</v>
      </c>
      <c r="AE71" s="44">
        <f t="shared" si="11"/>
        <v>1.1355446902848685E-52</v>
      </c>
      <c r="AF71" s="87">
        <f t="shared" si="32"/>
        <v>2.0030852170666311E-3</v>
      </c>
      <c r="AG71" s="87">
        <f t="shared" si="33"/>
        <v>2.0679851780995902E-3</v>
      </c>
      <c r="AH71" s="44">
        <f t="shared" si="34"/>
        <v>-31.015278121792168</v>
      </c>
      <c r="AI71" s="44">
        <f>(AG71/AF$15-1)*1000</f>
        <v>0.37982686706183877</v>
      </c>
      <c r="AJ71" s="44">
        <f t="shared" si="36"/>
        <v>3.5261241795427278E-2</v>
      </c>
      <c r="AK71" s="45"/>
      <c r="AL71" s="86">
        <f t="shared" si="12"/>
        <v>40</v>
      </c>
      <c r="AM71" s="86">
        <f t="shared" si="13"/>
        <v>120000</v>
      </c>
      <c r="AN71" s="20"/>
      <c r="AO71" s="87">
        <f t="shared" si="14"/>
        <v>1.1282103896103894E-2</v>
      </c>
      <c r="AP71" s="87">
        <f t="shared" si="37"/>
        <v>1.1293385999999999E-2</v>
      </c>
      <c r="AQ71" s="44">
        <f t="shared" si="38"/>
        <v>3.9960039960038607</v>
      </c>
      <c r="AR71" s="44">
        <f>(AP71/AO$15-1)*1000</f>
        <v>4.9999999999998934</v>
      </c>
      <c r="AS71" s="44">
        <f t="shared" si="40"/>
        <v>2.0494455762018751E-14</v>
      </c>
      <c r="AT71" s="45"/>
      <c r="AU71" s="89">
        <f t="shared" si="15"/>
        <v>16.961908845652207</v>
      </c>
      <c r="AV71" s="86">
        <f t="shared" si="16"/>
        <v>8428.125</v>
      </c>
      <c r="AW71" s="18">
        <f t="shared" si="41"/>
        <v>197.34937336143781</v>
      </c>
      <c r="AX71" s="44">
        <f t="shared" si="42"/>
        <v>9.8674686680718935</v>
      </c>
      <c r="AY71" s="44">
        <f t="shared" si="17"/>
        <v>0</v>
      </c>
      <c r="AZ71" s="89">
        <f t="shared" si="18"/>
        <v>5.0313411481356196</v>
      </c>
      <c r="BA71" s="86">
        <f t="shared" si="19"/>
        <v>1000</v>
      </c>
      <c r="BB71" s="44">
        <f t="shared" si="43"/>
        <v>0.21107741531351473</v>
      </c>
      <c r="BC71" s="20">
        <f t="shared" si="44"/>
        <v>4.221548306270295E-3</v>
      </c>
      <c r="BD71" s="44">
        <f t="shared" si="20"/>
        <v>0</v>
      </c>
      <c r="BE71" s="45"/>
      <c r="BF71" s="85">
        <f t="shared" si="21"/>
        <v>1.5812786465569093</v>
      </c>
      <c r="BG71" s="85">
        <f t="shared" si="22"/>
        <v>11</v>
      </c>
      <c r="BH71" s="18">
        <f t="shared" si="45"/>
        <v>66338.616241390351</v>
      </c>
      <c r="BI71" s="18">
        <f t="shared" si="46"/>
        <v>46.437031368973244</v>
      </c>
      <c r="BJ71" s="44">
        <f t="shared" si="23"/>
        <v>0</v>
      </c>
      <c r="BK71" s="90"/>
      <c r="BL71" s="20"/>
      <c r="BM71" s="20"/>
      <c r="BN71" s="20"/>
      <c r="BO71" s="20"/>
      <c r="BP71" s="20"/>
      <c r="BQ71" s="20"/>
      <c r="BR71" s="20"/>
      <c r="BS71" s="20"/>
      <c r="BT71" s="20"/>
      <c r="BU71" s="20"/>
      <c r="BV71" s="44"/>
      <c r="BX71" s="44"/>
      <c r="BY71" s="44"/>
      <c r="CA71" s="20"/>
      <c r="CB71" s="20"/>
    </row>
    <row r="72" spans="1:80" x14ac:dyDescent="0.2">
      <c r="F72" s="44"/>
      <c r="G72" s="85"/>
      <c r="H72" s="33">
        <v>30000</v>
      </c>
      <c r="I72" s="86">
        <f t="shared" si="24"/>
        <v>39.236992881958379</v>
      </c>
      <c r="J72" s="86">
        <f t="shared" si="25"/>
        <v>389925.78446502058</v>
      </c>
      <c r="K72" s="85"/>
      <c r="L72" s="87">
        <f t="shared" si="0"/>
        <v>2.1175871723084751E-2</v>
      </c>
      <c r="M72" s="87">
        <f t="shared" si="1"/>
        <v>2.1175871723084751E-2</v>
      </c>
      <c r="N72" s="44">
        <f t="shared" si="2"/>
        <v>-1.6000000000000458</v>
      </c>
      <c r="O72" s="44">
        <f t="shared" si="3"/>
        <v>-1.6000000000000458</v>
      </c>
      <c r="P72" s="44">
        <f t="shared" si="26"/>
        <v>-1.8444027667159893E-14</v>
      </c>
      <c r="Q72" s="45"/>
      <c r="R72" s="88">
        <f t="shared" si="27"/>
        <v>3.0691181003627284E-2</v>
      </c>
      <c r="S72" s="88">
        <f t="shared" si="4"/>
        <v>0.61</v>
      </c>
      <c r="T72" s="44">
        <f t="shared" si="28"/>
        <v>0</v>
      </c>
      <c r="U72" s="75">
        <f t="shared" si="5"/>
        <v>4508.3581083461522</v>
      </c>
      <c r="V72" s="44">
        <f t="shared" si="6"/>
        <v>9.0167162166923021</v>
      </c>
      <c r="W72" s="20">
        <f t="shared" si="7"/>
        <v>12.490244773060919</v>
      </c>
      <c r="X72" s="20">
        <f t="shared" si="29"/>
        <v>12.452830188679243</v>
      </c>
      <c r="Y72" s="44">
        <f t="shared" si="8"/>
        <v>26.07360810695458</v>
      </c>
      <c r="Z72" s="44">
        <f t="shared" si="30"/>
        <v>22.999999999999908</v>
      </c>
      <c r="AA72" s="44">
        <f t="shared" si="9"/>
        <v>0</v>
      </c>
      <c r="AB72" s="45"/>
      <c r="AC72" s="86">
        <f t="shared" si="31"/>
        <v>888888.88888888888</v>
      </c>
      <c r="AD72" s="86">
        <f t="shared" si="10"/>
        <v>480000</v>
      </c>
      <c r="AE72" s="44">
        <f t="shared" si="11"/>
        <v>1.2894617436341579E-104</v>
      </c>
      <c r="AF72" s="87">
        <f t="shared" si="32"/>
        <v>2.0033173579381072E-3</v>
      </c>
      <c r="AG72" s="87">
        <f t="shared" si="33"/>
        <v>2.0682248403353022E-3</v>
      </c>
      <c r="AH72" s="44">
        <f t="shared" si="34"/>
        <v>-30.902980873593666</v>
      </c>
      <c r="AI72" s="44">
        <f t="shared" si="35"/>
        <v>0.49576254610217418</v>
      </c>
      <c r="AJ72" s="44">
        <f t="shared" si="36"/>
        <v>1.2433551729495098E-3</v>
      </c>
      <c r="AK72" s="45"/>
      <c r="AL72" s="86">
        <f t="shared" si="12"/>
        <v>40</v>
      </c>
      <c r="AM72" s="86">
        <f t="shared" si="13"/>
        <v>120000</v>
      </c>
      <c r="AN72" s="20"/>
      <c r="AO72" s="87">
        <f t="shared" si="14"/>
        <v>1.1282103896103894E-2</v>
      </c>
      <c r="AP72" s="87">
        <f t="shared" si="37"/>
        <v>1.1293385999999999E-2</v>
      </c>
      <c r="AQ72" s="44">
        <f t="shared" si="38"/>
        <v>3.9960039960038607</v>
      </c>
      <c r="AR72" s="44">
        <f t="shared" si="39"/>
        <v>4.9999999999998934</v>
      </c>
      <c r="AS72" s="44">
        <f t="shared" si="40"/>
        <v>2.0494455762018751E-14</v>
      </c>
      <c r="AT72" s="45"/>
      <c r="AU72" s="89">
        <f t="shared" si="15"/>
        <v>16.961908845652207</v>
      </c>
      <c r="AV72" s="86">
        <f t="shared" si="16"/>
        <v>8428.125</v>
      </c>
      <c r="AW72" s="18">
        <f t="shared" si="41"/>
        <v>197.34937336143781</v>
      </c>
      <c r="AX72" s="44">
        <f t="shared" si="42"/>
        <v>9.8674686680718935</v>
      </c>
      <c r="AY72" s="44">
        <f t="shared" si="17"/>
        <v>0</v>
      </c>
      <c r="AZ72" s="89">
        <f t="shared" si="18"/>
        <v>5.0313411481356196</v>
      </c>
      <c r="BA72" s="86">
        <f t="shared" si="19"/>
        <v>1000</v>
      </c>
      <c r="BB72" s="44">
        <f t="shared" si="43"/>
        <v>0.21107741531351473</v>
      </c>
      <c r="BC72" s="20">
        <f t="shared" si="44"/>
        <v>4.221548306270295E-3</v>
      </c>
      <c r="BD72" s="44">
        <f t="shared" si="20"/>
        <v>0</v>
      </c>
      <c r="BE72" s="45"/>
      <c r="BF72" s="85">
        <f t="shared" si="21"/>
        <v>1.5812786465569093</v>
      </c>
      <c r="BG72" s="85">
        <f t="shared" si="22"/>
        <v>11</v>
      </c>
      <c r="BH72" s="18">
        <f t="shared" si="45"/>
        <v>66338.616241390351</v>
      </c>
      <c r="BI72" s="18">
        <f t="shared" si="46"/>
        <v>46.437031368973244</v>
      </c>
      <c r="BJ72" s="44">
        <f t="shared" si="23"/>
        <v>0</v>
      </c>
      <c r="BK72" s="90"/>
      <c r="BL72" s="20"/>
      <c r="BM72" s="20"/>
      <c r="BN72" s="20"/>
      <c r="BO72" s="20"/>
      <c r="BP72" s="20"/>
      <c r="BQ72" s="20"/>
      <c r="BR72" s="20"/>
      <c r="BS72" s="20"/>
      <c r="BT72" s="20"/>
      <c r="BU72" s="20"/>
      <c r="BV72" s="44"/>
      <c r="BX72" s="44"/>
      <c r="BY72" s="44"/>
      <c r="CA72" s="20"/>
      <c r="CB72" s="20"/>
    </row>
    <row r="73" spans="1:80" x14ac:dyDescent="0.2">
      <c r="A73" s="17" t="s">
        <v>120</v>
      </c>
      <c r="F73" s="44"/>
      <c r="G73" s="85"/>
      <c r="H73" s="33">
        <v>45000</v>
      </c>
      <c r="I73" s="86">
        <f t="shared" si="24"/>
        <v>39.236992881958379</v>
      </c>
      <c r="J73" s="86">
        <f t="shared" si="25"/>
        <v>389925.78446502058</v>
      </c>
      <c r="K73" s="85"/>
      <c r="L73" s="87">
        <f t="shared" si="0"/>
        <v>2.1175871723084751E-2</v>
      </c>
      <c r="M73" s="87">
        <f t="shared" si="1"/>
        <v>2.1175871723084751E-2</v>
      </c>
      <c r="N73" s="44">
        <f t="shared" si="2"/>
        <v>-1.6000000000000458</v>
      </c>
      <c r="O73" s="44">
        <f t="shared" si="3"/>
        <v>-1.6000000000000458</v>
      </c>
      <c r="P73" s="44">
        <f t="shared" si="26"/>
        <v>-1.8444027667159893E-14</v>
      </c>
      <c r="Q73" s="45"/>
      <c r="R73" s="88">
        <f t="shared" si="27"/>
        <v>3.0691181003627284E-2</v>
      </c>
      <c r="S73" s="88">
        <f t="shared" si="4"/>
        <v>0.61</v>
      </c>
      <c r="T73" s="44">
        <f t="shared" si="28"/>
        <v>0</v>
      </c>
      <c r="U73" s="75">
        <f t="shared" si="5"/>
        <v>4508.3581083461522</v>
      </c>
      <c r="V73" s="44">
        <f t="shared" si="6"/>
        <v>9.0167162166923021</v>
      </c>
      <c r="W73" s="20">
        <f t="shared" si="7"/>
        <v>12.490244773060919</v>
      </c>
      <c r="X73" s="20">
        <f t="shared" si="29"/>
        <v>12.452830188679243</v>
      </c>
      <c r="Y73" s="44">
        <f t="shared" si="8"/>
        <v>26.07360810695458</v>
      </c>
      <c r="Z73" s="44">
        <f t="shared" si="30"/>
        <v>22.999999999999908</v>
      </c>
      <c r="AA73" s="44">
        <f t="shared" si="9"/>
        <v>0</v>
      </c>
      <c r="AB73" s="45"/>
      <c r="AC73" s="86">
        <f t="shared" si="31"/>
        <v>888888.88888888888</v>
      </c>
      <c r="AD73" s="86">
        <f t="shared" si="10"/>
        <v>480000</v>
      </c>
      <c r="AE73" s="44">
        <f t="shared" si="11"/>
        <v>1.4642414363092364E-156</v>
      </c>
      <c r="AF73" s="87">
        <f t="shared" si="32"/>
        <v>2.003325543513507E-3</v>
      </c>
      <c r="AG73" s="87">
        <f t="shared" si="33"/>
        <v>2.0682332911233447E-3</v>
      </c>
      <c r="AH73" s="44">
        <f t="shared" si="34"/>
        <v>-30.899021133171889</v>
      </c>
      <c r="AI73" s="44">
        <f t="shared" si="35"/>
        <v>0.49985058211343691</v>
      </c>
      <c r="AJ73" s="44">
        <f t="shared" si="36"/>
        <v>4.3842247412937473E-5</v>
      </c>
      <c r="AK73" s="45"/>
      <c r="AL73" s="86">
        <f t="shared" si="12"/>
        <v>40</v>
      </c>
      <c r="AM73" s="86">
        <f t="shared" si="13"/>
        <v>120000</v>
      </c>
      <c r="AN73" s="20"/>
      <c r="AO73" s="87">
        <f t="shared" si="14"/>
        <v>1.1282103896103894E-2</v>
      </c>
      <c r="AP73" s="87">
        <f t="shared" si="37"/>
        <v>1.1293385999999999E-2</v>
      </c>
      <c r="AQ73" s="44">
        <f t="shared" si="38"/>
        <v>3.9960039960038607</v>
      </c>
      <c r="AR73" s="44">
        <f t="shared" si="39"/>
        <v>4.9999999999998934</v>
      </c>
      <c r="AS73" s="44">
        <f t="shared" si="40"/>
        <v>2.0494455762018751E-14</v>
      </c>
      <c r="AT73" s="45"/>
      <c r="AU73" s="89">
        <f t="shared" si="15"/>
        <v>16.961908845652207</v>
      </c>
      <c r="AV73" s="86">
        <f t="shared" si="16"/>
        <v>8428.125</v>
      </c>
      <c r="AW73" s="18">
        <f t="shared" si="41"/>
        <v>197.34937336143781</v>
      </c>
      <c r="AX73" s="44">
        <f t="shared" si="42"/>
        <v>9.8674686680718935</v>
      </c>
      <c r="AY73" s="44">
        <f t="shared" si="17"/>
        <v>0</v>
      </c>
      <c r="AZ73" s="89">
        <f t="shared" si="18"/>
        <v>5.0313411481356196</v>
      </c>
      <c r="BA73" s="86">
        <f t="shared" si="19"/>
        <v>1000</v>
      </c>
      <c r="BB73" s="44">
        <f t="shared" si="43"/>
        <v>0.21107741531351473</v>
      </c>
      <c r="BC73" s="20">
        <f t="shared" si="44"/>
        <v>4.221548306270295E-3</v>
      </c>
      <c r="BD73" s="44">
        <f t="shared" si="20"/>
        <v>0</v>
      </c>
      <c r="BE73" s="45"/>
      <c r="BF73" s="85">
        <f t="shared" si="21"/>
        <v>1.5812786465569093</v>
      </c>
      <c r="BG73" s="85">
        <f t="shared" si="22"/>
        <v>11</v>
      </c>
      <c r="BH73" s="18">
        <f t="shared" si="45"/>
        <v>66338.616241390351</v>
      </c>
      <c r="BI73" s="18">
        <f t="shared" si="46"/>
        <v>46.437031368973244</v>
      </c>
      <c r="BJ73" s="44">
        <f t="shared" si="23"/>
        <v>0</v>
      </c>
      <c r="BK73" s="90"/>
      <c r="BL73" s="20"/>
      <c r="BM73" s="20"/>
      <c r="BN73" s="20"/>
      <c r="BO73" s="20"/>
      <c r="BP73" s="20"/>
      <c r="BQ73" s="20"/>
      <c r="BR73" s="20"/>
      <c r="BS73" s="20"/>
      <c r="BT73" s="20"/>
      <c r="BU73" s="20"/>
      <c r="BV73" s="44"/>
      <c r="BX73" s="44"/>
      <c r="BY73" s="44"/>
      <c r="CA73" s="20"/>
      <c r="CB73" s="20"/>
    </row>
    <row r="74" spans="1:80" x14ac:dyDescent="0.2">
      <c r="A74" s="17" t="s">
        <v>121</v>
      </c>
      <c r="E74" s="75"/>
      <c r="F74" s="44"/>
      <c r="G74" s="85"/>
      <c r="H74" s="33">
        <v>60000</v>
      </c>
      <c r="I74" s="86">
        <f t="shared" si="24"/>
        <v>39.236992881958379</v>
      </c>
      <c r="J74" s="86">
        <f t="shared" si="25"/>
        <v>389925.78446502058</v>
      </c>
      <c r="K74" s="85"/>
      <c r="L74" s="87">
        <f t="shared" si="0"/>
        <v>2.1175871723084751E-2</v>
      </c>
      <c r="M74" s="87">
        <f t="shared" si="1"/>
        <v>2.1175871723084751E-2</v>
      </c>
      <c r="N74" s="44">
        <f t="shared" si="2"/>
        <v>-1.6000000000000458</v>
      </c>
      <c r="O74" s="44">
        <f t="shared" si="3"/>
        <v>-1.6000000000000458</v>
      </c>
      <c r="P74" s="44">
        <f t="shared" si="26"/>
        <v>-1.8444027667159893E-14</v>
      </c>
      <c r="Q74" s="45"/>
      <c r="R74" s="88">
        <f t="shared" si="27"/>
        <v>3.0691181003627284E-2</v>
      </c>
      <c r="S74" s="88">
        <f t="shared" si="4"/>
        <v>0.61</v>
      </c>
      <c r="T74" s="44">
        <f t="shared" si="28"/>
        <v>0</v>
      </c>
      <c r="U74" s="75">
        <f t="shared" si="5"/>
        <v>4508.3581083461522</v>
      </c>
      <c r="V74" s="44">
        <f t="shared" si="6"/>
        <v>9.0167162166923021</v>
      </c>
      <c r="W74" s="20">
        <f t="shared" si="7"/>
        <v>12.490244773060919</v>
      </c>
      <c r="X74" s="20">
        <f t="shared" si="29"/>
        <v>12.452830188679243</v>
      </c>
      <c r="Y74" s="44">
        <f t="shared" si="8"/>
        <v>26.07360810695458</v>
      </c>
      <c r="Z74" s="44">
        <f t="shared" si="30"/>
        <v>22.999999999999908</v>
      </c>
      <c r="AA74" s="44">
        <f t="shared" si="9"/>
        <v>0</v>
      </c>
      <c r="AB74" s="45"/>
      <c r="AC74" s="86">
        <f t="shared" si="31"/>
        <v>888888.88888888888</v>
      </c>
      <c r="AD74" s="86">
        <f t="shared" si="10"/>
        <v>480000</v>
      </c>
      <c r="AE74" s="44">
        <f t="shared" si="11"/>
        <v>1.6627115882960427E-208</v>
      </c>
      <c r="AF74" s="87">
        <f t="shared" si="32"/>
        <v>2.0033258321470603E-3</v>
      </c>
      <c r="AG74" s="87">
        <f t="shared" si="33"/>
        <v>2.0682335891086252E-3</v>
      </c>
      <c r="AH74" s="44">
        <f t="shared" si="34"/>
        <v>-30.898881507807509</v>
      </c>
      <c r="AI74" s="44">
        <f t="shared" si="35"/>
        <v>0.49999473133954808</v>
      </c>
      <c r="AJ74" s="44">
        <f t="shared" si="36"/>
        <v>1.5459321529770519E-6</v>
      </c>
      <c r="AK74" s="45"/>
      <c r="AL74" s="86">
        <f t="shared" si="12"/>
        <v>40</v>
      </c>
      <c r="AM74" s="86">
        <f t="shared" si="13"/>
        <v>120000</v>
      </c>
      <c r="AN74" s="20"/>
      <c r="AO74" s="87">
        <f t="shared" si="14"/>
        <v>1.1282103896103894E-2</v>
      </c>
      <c r="AP74" s="87">
        <f t="shared" si="37"/>
        <v>1.1293385999999999E-2</v>
      </c>
      <c r="AQ74" s="44">
        <f t="shared" si="38"/>
        <v>3.9960039960038607</v>
      </c>
      <c r="AR74" s="44">
        <f t="shared" si="39"/>
        <v>4.9999999999998934</v>
      </c>
      <c r="AS74" s="44">
        <f t="shared" si="40"/>
        <v>2.0494455762018751E-14</v>
      </c>
      <c r="AT74" s="45"/>
      <c r="AU74" s="89">
        <f t="shared" si="15"/>
        <v>16.961908845652207</v>
      </c>
      <c r="AV74" s="86">
        <f t="shared" si="16"/>
        <v>8428.125</v>
      </c>
      <c r="AW74" s="18">
        <f t="shared" si="41"/>
        <v>197.34937336143781</v>
      </c>
      <c r="AX74" s="44">
        <f t="shared" si="42"/>
        <v>9.8674686680718935</v>
      </c>
      <c r="AY74" s="44">
        <f t="shared" si="17"/>
        <v>0</v>
      </c>
      <c r="AZ74" s="89">
        <f t="shared" si="18"/>
        <v>5.0313411481356196</v>
      </c>
      <c r="BA74" s="86">
        <f t="shared" si="19"/>
        <v>1000</v>
      </c>
      <c r="BB74" s="44">
        <f t="shared" si="43"/>
        <v>0.21107741531351473</v>
      </c>
      <c r="BC74" s="20">
        <f t="shared" si="44"/>
        <v>4.221548306270295E-3</v>
      </c>
      <c r="BD74" s="44">
        <f t="shared" si="20"/>
        <v>0</v>
      </c>
      <c r="BE74" s="45"/>
      <c r="BF74" s="85">
        <f t="shared" si="21"/>
        <v>1.5812786465569093</v>
      </c>
      <c r="BG74" s="85">
        <f t="shared" si="22"/>
        <v>11</v>
      </c>
      <c r="BH74" s="18">
        <f t="shared" si="45"/>
        <v>66338.616241390351</v>
      </c>
      <c r="BI74" s="18">
        <f t="shared" si="46"/>
        <v>46.437031368973244</v>
      </c>
      <c r="BJ74" s="44">
        <f t="shared" si="23"/>
        <v>0</v>
      </c>
      <c r="BK74" s="90"/>
      <c r="BL74" s="20"/>
      <c r="BM74" s="20"/>
      <c r="BN74" s="20"/>
      <c r="BO74" s="20"/>
      <c r="BP74" s="20"/>
      <c r="BQ74" s="20"/>
      <c r="BR74" s="20"/>
      <c r="BS74" s="20"/>
      <c r="BT74" s="20"/>
      <c r="BU74" s="20"/>
      <c r="BV74" s="44"/>
      <c r="BX74" s="44"/>
      <c r="BY74" s="44"/>
      <c r="CA74" s="20"/>
      <c r="CB74" s="20"/>
    </row>
    <row r="75" spans="1:80" x14ac:dyDescent="0.2">
      <c r="E75" s="75"/>
      <c r="F75" s="44"/>
      <c r="G75" s="85"/>
      <c r="H75" s="33">
        <v>75000</v>
      </c>
      <c r="I75" s="86">
        <f t="shared" si="24"/>
        <v>39.236992881958379</v>
      </c>
      <c r="J75" s="86">
        <f t="shared" si="25"/>
        <v>389925.78446502058</v>
      </c>
      <c r="K75" s="85"/>
      <c r="L75" s="87">
        <f t="shared" si="0"/>
        <v>2.1175871723084751E-2</v>
      </c>
      <c r="M75" s="87">
        <f t="shared" si="1"/>
        <v>2.1175871723084751E-2</v>
      </c>
      <c r="N75" s="44">
        <f t="shared" si="2"/>
        <v>-1.6000000000000458</v>
      </c>
      <c r="O75" s="44">
        <f t="shared" si="3"/>
        <v>-1.6000000000000458</v>
      </c>
      <c r="P75" s="44">
        <f t="shared" si="26"/>
        <v>-1.8444027667159893E-14</v>
      </c>
      <c r="Q75" s="45"/>
      <c r="R75" s="88">
        <f t="shared" si="27"/>
        <v>3.0691181003627284E-2</v>
      </c>
      <c r="S75" s="88">
        <f t="shared" si="4"/>
        <v>0.61</v>
      </c>
      <c r="T75" s="44">
        <f t="shared" si="28"/>
        <v>0</v>
      </c>
      <c r="U75" s="75">
        <f t="shared" si="5"/>
        <v>4508.3581083461522</v>
      </c>
      <c r="V75" s="44">
        <f t="shared" si="6"/>
        <v>9.0167162166923021</v>
      </c>
      <c r="W75" s="20">
        <f t="shared" si="7"/>
        <v>12.490244773060919</v>
      </c>
      <c r="X75" s="20">
        <f t="shared" si="29"/>
        <v>12.452830188679243</v>
      </c>
      <c r="Y75" s="44">
        <f t="shared" si="8"/>
        <v>26.07360810695458</v>
      </c>
      <c r="Z75" s="44">
        <f t="shared" si="30"/>
        <v>22.999999999999908</v>
      </c>
      <c r="AA75" s="44">
        <f t="shared" si="9"/>
        <v>0</v>
      </c>
      <c r="AB75" s="45"/>
      <c r="AC75" s="86">
        <f t="shared" si="31"/>
        <v>888888.88888888888</v>
      </c>
      <c r="AD75" s="86">
        <f t="shared" si="10"/>
        <v>480000</v>
      </c>
      <c r="AE75" s="44">
        <f t="shared" si="11"/>
        <v>1.8880833155646915E-260</v>
      </c>
      <c r="AF75" s="87">
        <f t="shared" si="32"/>
        <v>2.0033258423246378E-3</v>
      </c>
      <c r="AG75" s="87">
        <f t="shared" si="33"/>
        <v>2.0682335996159563E-3</v>
      </c>
      <c r="AH75" s="44">
        <f t="shared" si="34"/>
        <v>-30.898876584443791</v>
      </c>
      <c r="AI75" s="44">
        <f t="shared" si="35"/>
        <v>0.49999981422033102</v>
      </c>
      <c r="AJ75" s="44">
        <f t="shared" si="36"/>
        <v>5.4511534054928349E-8</v>
      </c>
      <c r="AK75" s="45"/>
      <c r="AL75" s="86">
        <f t="shared" si="12"/>
        <v>40</v>
      </c>
      <c r="AM75" s="86">
        <f t="shared" si="13"/>
        <v>120000</v>
      </c>
      <c r="AN75" s="20"/>
      <c r="AO75" s="87">
        <f t="shared" si="14"/>
        <v>1.1282103896103894E-2</v>
      </c>
      <c r="AP75" s="87">
        <f t="shared" si="37"/>
        <v>1.1293385999999999E-2</v>
      </c>
      <c r="AQ75" s="44">
        <f t="shared" si="38"/>
        <v>3.9960039960038607</v>
      </c>
      <c r="AR75" s="44">
        <f t="shared" si="39"/>
        <v>4.9999999999998934</v>
      </c>
      <c r="AS75" s="44">
        <f t="shared" si="40"/>
        <v>2.0494455762018751E-14</v>
      </c>
      <c r="AT75" s="45"/>
      <c r="AU75" s="89">
        <f t="shared" si="15"/>
        <v>16.961908845652207</v>
      </c>
      <c r="AV75" s="86">
        <f t="shared" si="16"/>
        <v>8428.125</v>
      </c>
      <c r="AW75" s="18">
        <f t="shared" si="41"/>
        <v>197.34937336143781</v>
      </c>
      <c r="AX75" s="44">
        <f t="shared" si="42"/>
        <v>9.8674686680718935</v>
      </c>
      <c r="AY75" s="44">
        <f t="shared" si="17"/>
        <v>0</v>
      </c>
      <c r="AZ75" s="89">
        <f t="shared" si="18"/>
        <v>5.0313411481356196</v>
      </c>
      <c r="BA75" s="86">
        <f t="shared" si="19"/>
        <v>1000</v>
      </c>
      <c r="BB75" s="44">
        <f t="shared" si="43"/>
        <v>0.21107741531351473</v>
      </c>
      <c r="BC75" s="20">
        <f t="shared" si="44"/>
        <v>4.221548306270295E-3</v>
      </c>
      <c r="BD75" s="44">
        <f t="shared" si="20"/>
        <v>0</v>
      </c>
      <c r="BE75" s="45"/>
      <c r="BF75" s="85">
        <f t="shared" si="21"/>
        <v>1.5812786465569093</v>
      </c>
      <c r="BG75" s="85">
        <f t="shared" si="22"/>
        <v>11</v>
      </c>
      <c r="BH75" s="18">
        <f t="shared" si="45"/>
        <v>66338.616241390351</v>
      </c>
      <c r="BI75" s="18">
        <f t="shared" si="46"/>
        <v>46.437031368973244</v>
      </c>
      <c r="BJ75" s="44">
        <f t="shared" si="23"/>
        <v>0</v>
      </c>
      <c r="BK75" s="90"/>
      <c r="BL75" s="20"/>
      <c r="BM75" s="20"/>
      <c r="BN75" s="20"/>
      <c r="BO75" s="20"/>
      <c r="BP75" s="20"/>
      <c r="BQ75" s="20"/>
      <c r="BR75" s="20"/>
      <c r="BS75" s="20"/>
      <c r="BT75" s="20"/>
      <c r="BU75" s="20"/>
      <c r="BV75" s="44"/>
      <c r="BX75" s="44"/>
      <c r="BY75" s="44"/>
      <c r="CA75" s="20"/>
      <c r="CB75" s="20"/>
    </row>
    <row r="76" spans="1:80" x14ac:dyDescent="0.2">
      <c r="B76" s="59"/>
      <c r="E76" s="75"/>
      <c r="F76" s="44"/>
      <c r="G76" s="85"/>
      <c r="H76" s="33">
        <v>90000</v>
      </c>
      <c r="I76" s="86">
        <f t="shared" si="24"/>
        <v>39.236992881958379</v>
      </c>
      <c r="J76" s="86">
        <f t="shared" si="25"/>
        <v>389925.78446502058</v>
      </c>
      <c r="K76" s="85"/>
      <c r="L76" s="87">
        <f t="shared" si="0"/>
        <v>2.1175871723084751E-2</v>
      </c>
      <c r="M76" s="87">
        <f t="shared" si="1"/>
        <v>2.1175871723084751E-2</v>
      </c>
      <c r="N76" s="44">
        <f t="shared" si="2"/>
        <v>-1.6000000000000458</v>
      </c>
      <c r="O76" s="44">
        <f t="shared" si="3"/>
        <v>-1.6000000000000458</v>
      </c>
      <c r="P76" s="44">
        <f t="shared" si="26"/>
        <v>-1.8444027667159893E-14</v>
      </c>
      <c r="Q76" s="45"/>
      <c r="R76" s="88">
        <f t="shared" si="27"/>
        <v>3.0691181003627284E-2</v>
      </c>
      <c r="S76" s="88">
        <f t="shared" si="4"/>
        <v>0.61</v>
      </c>
      <c r="T76" s="44">
        <f t="shared" si="28"/>
        <v>0</v>
      </c>
      <c r="U76" s="75">
        <f t="shared" si="5"/>
        <v>4508.3581083461522</v>
      </c>
      <c r="V76" s="44">
        <f t="shared" si="6"/>
        <v>9.0167162166923021</v>
      </c>
      <c r="W76" s="20">
        <f t="shared" si="7"/>
        <v>12.490244773060919</v>
      </c>
      <c r="X76" s="20">
        <f t="shared" si="29"/>
        <v>12.452830188679243</v>
      </c>
      <c r="Y76" s="44">
        <f t="shared" si="8"/>
        <v>26.07360810695458</v>
      </c>
      <c r="Z76" s="44">
        <f t="shared" si="30"/>
        <v>22.999999999999908</v>
      </c>
      <c r="AA76" s="44">
        <f t="shared" si="9"/>
        <v>0</v>
      </c>
      <c r="AB76" s="45"/>
      <c r="AC76" s="86">
        <f t="shared" si="31"/>
        <v>888888.88888888888</v>
      </c>
      <c r="AD76" s="86">
        <f t="shared" si="10"/>
        <v>480000</v>
      </c>
      <c r="AE76" s="44">
        <f t="shared" si="11"/>
        <v>0</v>
      </c>
      <c r="AF76" s="87">
        <f t="shared" si="32"/>
        <v>2.0033258426835122E-3</v>
      </c>
      <c r="AG76" s="87">
        <f t="shared" si="33"/>
        <v>2.0682335999864581E-3</v>
      </c>
      <c r="AH76" s="44">
        <f t="shared" si="34"/>
        <v>-30.898876410839659</v>
      </c>
      <c r="AI76" s="44">
        <f t="shared" si="35"/>
        <v>0.499999993449185</v>
      </c>
      <c r="AJ76" s="44">
        <f t="shared" si="36"/>
        <v>1.9221423797446704E-9</v>
      </c>
      <c r="AK76" s="45"/>
      <c r="AL76" s="86">
        <f t="shared" si="12"/>
        <v>40</v>
      </c>
      <c r="AM76" s="86">
        <f t="shared" si="13"/>
        <v>120000</v>
      </c>
      <c r="AN76" s="20"/>
      <c r="AO76" s="87">
        <f t="shared" si="14"/>
        <v>1.1282103896103894E-2</v>
      </c>
      <c r="AP76" s="87">
        <f t="shared" si="37"/>
        <v>1.1293385999999999E-2</v>
      </c>
      <c r="AQ76" s="44">
        <f t="shared" si="38"/>
        <v>3.9960039960038607</v>
      </c>
      <c r="AR76" s="44">
        <f t="shared" si="39"/>
        <v>4.9999999999998934</v>
      </c>
      <c r="AS76" s="44">
        <f t="shared" si="40"/>
        <v>2.0494455762018751E-14</v>
      </c>
      <c r="AT76" s="45"/>
      <c r="AU76" s="89">
        <f t="shared" si="15"/>
        <v>16.961908845652207</v>
      </c>
      <c r="AV76" s="86">
        <f t="shared" si="16"/>
        <v>8428.125</v>
      </c>
      <c r="AW76" s="18">
        <f t="shared" si="41"/>
        <v>197.34937336143781</v>
      </c>
      <c r="AX76" s="44">
        <f t="shared" si="42"/>
        <v>9.8674686680718935</v>
      </c>
      <c r="AY76" s="44">
        <f t="shared" si="17"/>
        <v>0</v>
      </c>
      <c r="AZ76" s="89">
        <f t="shared" si="18"/>
        <v>5.0313411481356196</v>
      </c>
      <c r="BA76" s="86">
        <f t="shared" si="19"/>
        <v>1000</v>
      </c>
      <c r="BB76" s="44">
        <f t="shared" si="43"/>
        <v>0.21107741531351473</v>
      </c>
      <c r="BC76" s="20">
        <f t="shared" si="44"/>
        <v>4.221548306270295E-3</v>
      </c>
      <c r="BD76" s="44">
        <f t="shared" si="20"/>
        <v>0</v>
      </c>
      <c r="BE76" s="45"/>
      <c r="BF76" s="85">
        <f t="shared" si="21"/>
        <v>1.5812786465569093</v>
      </c>
      <c r="BG76" s="85">
        <f t="shared" si="22"/>
        <v>11</v>
      </c>
      <c r="BH76" s="18">
        <f t="shared" si="45"/>
        <v>66338.616241390351</v>
      </c>
      <c r="BI76" s="18">
        <f t="shared" si="46"/>
        <v>46.437031368973244</v>
      </c>
      <c r="BJ76" s="44">
        <f t="shared" si="23"/>
        <v>0</v>
      </c>
      <c r="BK76" s="90"/>
      <c r="BL76" s="20"/>
      <c r="BM76" s="20"/>
      <c r="BN76" s="20"/>
      <c r="BO76" s="20"/>
      <c r="BP76" s="20"/>
      <c r="BQ76" s="20"/>
      <c r="BR76" s="20"/>
      <c r="BS76" s="20"/>
      <c r="BT76" s="20"/>
      <c r="BU76" s="20"/>
      <c r="BV76" s="44"/>
      <c r="BX76" s="44"/>
      <c r="BY76" s="44"/>
      <c r="CA76" s="20"/>
      <c r="CB76" s="20"/>
    </row>
    <row r="77" spans="1:80" x14ac:dyDescent="0.2">
      <c r="B77" s="18"/>
      <c r="E77" s="75"/>
      <c r="F77" s="44"/>
      <c r="G77" s="85"/>
      <c r="H77" s="33">
        <v>105000</v>
      </c>
      <c r="I77" s="86">
        <f t="shared" si="24"/>
        <v>39.236992881958379</v>
      </c>
      <c r="J77" s="86">
        <f t="shared" si="25"/>
        <v>389925.78446502058</v>
      </c>
      <c r="K77" s="85"/>
      <c r="L77" s="87">
        <f t="shared" si="0"/>
        <v>2.1175871723084751E-2</v>
      </c>
      <c r="M77" s="87">
        <f t="shared" si="1"/>
        <v>2.1175871723084751E-2</v>
      </c>
      <c r="N77" s="44">
        <f t="shared" si="2"/>
        <v>-1.6000000000000458</v>
      </c>
      <c r="O77" s="44">
        <f t="shared" si="3"/>
        <v>-1.6000000000000458</v>
      </c>
      <c r="P77" s="44">
        <f t="shared" si="26"/>
        <v>-1.8444027667159893E-14</v>
      </c>
      <c r="Q77" s="45"/>
      <c r="R77" s="88">
        <f t="shared" si="27"/>
        <v>3.0691181003627284E-2</v>
      </c>
      <c r="S77" s="88">
        <f t="shared" si="4"/>
        <v>0.61</v>
      </c>
      <c r="T77" s="44">
        <f t="shared" si="28"/>
        <v>0</v>
      </c>
      <c r="U77" s="75">
        <f t="shared" si="5"/>
        <v>4508.3581083461522</v>
      </c>
      <c r="V77" s="44">
        <f t="shared" si="6"/>
        <v>9.0167162166923021</v>
      </c>
      <c r="W77" s="20">
        <f t="shared" si="7"/>
        <v>12.490244773060919</v>
      </c>
      <c r="X77" s="20">
        <f t="shared" si="29"/>
        <v>12.452830188679243</v>
      </c>
      <c r="Y77" s="44">
        <f t="shared" si="8"/>
        <v>26.07360810695458</v>
      </c>
      <c r="Z77" s="44">
        <f t="shared" si="30"/>
        <v>22.999999999999908</v>
      </c>
      <c r="AA77" s="44">
        <f t="shared" si="9"/>
        <v>0</v>
      </c>
      <c r="AB77" s="45"/>
      <c r="AC77" s="86">
        <f t="shared" si="31"/>
        <v>888888.88888888888</v>
      </c>
      <c r="AD77" s="86">
        <f t="shared" si="10"/>
        <v>480000</v>
      </c>
      <c r="AE77" s="44">
        <f t="shared" si="11"/>
        <v>0</v>
      </c>
      <c r="AF77" s="87">
        <f t="shared" si="32"/>
        <v>2.0033258426961666E-3</v>
      </c>
      <c r="AG77" s="87">
        <f t="shared" si="33"/>
        <v>2.0682335999995223E-3</v>
      </c>
      <c r="AH77" s="44">
        <f t="shared" si="34"/>
        <v>-30.898876404718113</v>
      </c>
      <c r="AI77" s="44">
        <f t="shared" si="35"/>
        <v>0.49999999976901854</v>
      </c>
      <c r="AJ77" s="44">
        <f t="shared" si="36"/>
        <v>6.7774657925885305E-11</v>
      </c>
      <c r="AK77" s="45"/>
      <c r="AL77" s="86">
        <f t="shared" si="12"/>
        <v>40</v>
      </c>
      <c r="AM77" s="86">
        <f t="shared" si="13"/>
        <v>120000</v>
      </c>
      <c r="AN77" s="20"/>
      <c r="AO77" s="87">
        <f t="shared" si="14"/>
        <v>1.1282103896103894E-2</v>
      </c>
      <c r="AP77" s="87">
        <f t="shared" si="37"/>
        <v>1.1293385999999999E-2</v>
      </c>
      <c r="AQ77" s="44">
        <f t="shared" si="38"/>
        <v>3.9960039960038607</v>
      </c>
      <c r="AR77" s="44">
        <f t="shared" si="39"/>
        <v>4.9999999999998934</v>
      </c>
      <c r="AS77" s="44">
        <f t="shared" si="40"/>
        <v>2.0494455762018751E-14</v>
      </c>
      <c r="AT77" s="45"/>
      <c r="AU77" s="89">
        <f t="shared" si="15"/>
        <v>16.961908845652207</v>
      </c>
      <c r="AV77" s="86">
        <f t="shared" si="16"/>
        <v>8428.125</v>
      </c>
      <c r="AW77" s="18">
        <f t="shared" si="41"/>
        <v>197.34937336143781</v>
      </c>
      <c r="AX77" s="44">
        <f t="shared" si="42"/>
        <v>9.8674686680718935</v>
      </c>
      <c r="AY77" s="44">
        <f t="shared" si="17"/>
        <v>0</v>
      </c>
      <c r="AZ77" s="89">
        <f t="shared" si="18"/>
        <v>5.0313411481356196</v>
      </c>
      <c r="BA77" s="86">
        <f t="shared" si="19"/>
        <v>1000</v>
      </c>
      <c r="BB77" s="44">
        <f t="shared" si="43"/>
        <v>0.21107741531351473</v>
      </c>
      <c r="BC77" s="20">
        <f t="shared" si="44"/>
        <v>4.221548306270295E-3</v>
      </c>
      <c r="BD77" s="44">
        <f t="shared" si="20"/>
        <v>0</v>
      </c>
      <c r="BE77" s="45"/>
      <c r="BF77" s="85">
        <f t="shared" si="21"/>
        <v>1.5812786465569093</v>
      </c>
      <c r="BG77" s="85">
        <f t="shared" si="22"/>
        <v>11</v>
      </c>
      <c r="BH77" s="18">
        <f t="shared" si="45"/>
        <v>66338.616241390351</v>
      </c>
      <c r="BI77" s="18">
        <f t="shared" si="46"/>
        <v>46.437031368973244</v>
      </c>
      <c r="BJ77" s="44">
        <f t="shared" si="23"/>
        <v>0</v>
      </c>
      <c r="BK77" s="90"/>
      <c r="BL77" s="20"/>
      <c r="BM77" s="20"/>
      <c r="BN77" s="20"/>
      <c r="BO77" s="20"/>
      <c r="BP77" s="20"/>
      <c r="BQ77" s="20"/>
      <c r="BR77" s="20"/>
      <c r="BS77" s="20"/>
      <c r="BT77" s="20"/>
      <c r="BU77" s="20"/>
      <c r="BV77" s="44"/>
      <c r="BX77" s="44"/>
      <c r="BY77" s="44"/>
      <c r="CA77" s="20"/>
      <c r="CB77" s="20"/>
    </row>
    <row r="78" spans="1:80" x14ac:dyDescent="0.2">
      <c r="B78" s="18"/>
      <c r="E78" s="75"/>
      <c r="F78" s="44"/>
      <c r="G78" s="85"/>
      <c r="H78" s="33">
        <v>120000</v>
      </c>
      <c r="I78" s="86">
        <f t="shared" si="24"/>
        <v>39.236992881958379</v>
      </c>
      <c r="J78" s="86">
        <f t="shared" si="25"/>
        <v>389925.78446502058</v>
      </c>
      <c r="K78" s="85"/>
      <c r="L78" s="87">
        <f t="shared" si="0"/>
        <v>2.1175871723084751E-2</v>
      </c>
      <c r="M78" s="87">
        <f t="shared" si="1"/>
        <v>2.1175871723084751E-2</v>
      </c>
      <c r="N78" s="44">
        <f t="shared" si="2"/>
        <v>-1.6000000000000458</v>
      </c>
      <c r="O78" s="44">
        <f t="shared" si="3"/>
        <v>-1.6000000000000458</v>
      </c>
      <c r="P78" s="44">
        <f t="shared" si="26"/>
        <v>-1.8444027667159893E-14</v>
      </c>
      <c r="Q78" s="45"/>
      <c r="R78" s="88">
        <f t="shared" si="27"/>
        <v>3.0691181003627284E-2</v>
      </c>
      <c r="S78" s="88">
        <f t="shared" si="4"/>
        <v>0.61</v>
      </c>
      <c r="T78" s="44">
        <f t="shared" si="28"/>
        <v>0</v>
      </c>
      <c r="U78" s="75">
        <f t="shared" si="5"/>
        <v>4508.3581083461522</v>
      </c>
      <c r="V78" s="44">
        <f t="shared" si="6"/>
        <v>9.0167162166923021</v>
      </c>
      <c r="W78" s="20">
        <f t="shared" si="7"/>
        <v>12.490244773060919</v>
      </c>
      <c r="X78" s="20">
        <f t="shared" si="29"/>
        <v>12.452830188679243</v>
      </c>
      <c r="Y78" s="44">
        <f t="shared" si="8"/>
        <v>26.07360810695458</v>
      </c>
      <c r="Z78" s="44">
        <f t="shared" si="30"/>
        <v>22.999999999999908</v>
      </c>
      <c r="AA78" s="44">
        <f t="shared" si="9"/>
        <v>0</v>
      </c>
      <c r="AB78" s="45"/>
      <c r="AC78" s="86">
        <f t="shared" si="31"/>
        <v>888888.88888888888</v>
      </c>
      <c r="AD78" s="86">
        <f t="shared" si="10"/>
        <v>480000</v>
      </c>
      <c r="AE78" s="44">
        <f t="shared" si="11"/>
        <v>0</v>
      </c>
      <c r="AF78" s="87">
        <f t="shared" si="32"/>
        <v>2.0033258426966124E-3</v>
      </c>
      <c r="AG78" s="87">
        <f t="shared" si="33"/>
        <v>2.0682335999999829E-3</v>
      </c>
      <c r="AH78" s="44">
        <f t="shared" si="34"/>
        <v>-30.898876404502506</v>
      </c>
      <c r="AI78" s="44">
        <f t="shared" si="35"/>
        <v>0.49999999999172928</v>
      </c>
      <c r="AJ78" s="44">
        <f t="shared" si="36"/>
        <v>2.426796743106813E-12</v>
      </c>
      <c r="AK78" s="45"/>
      <c r="AL78" s="86">
        <f t="shared" si="12"/>
        <v>40</v>
      </c>
      <c r="AM78" s="86">
        <f t="shared" si="13"/>
        <v>120000</v>
      </c>
      <c r="AN78" s="20"/>
      <c r="AO78" s="87">
        <f t="shared" si="14"/>
        <v>1.1282103896103894E-2</v>
      </c>
      <c r="AP78" s="87">
        <f t="shared" si="37"/>
        <v>1.1293385999999999E-2</v>
      </c>
      <c r="AQ78" s="44">
        <f t="shared" si="38"/>
        <v>3.9960039960038607</v>
      </c>
      <c r="AR78" s="44">
        <f t="shared" si="39"/>
        <v>4.9999999999998934</v>
      </c>
      <c r="AS78" s="44">
        <f t="shared" si="40"/>
        <v>2.0494455762018751E-14</v>
      </c>
      <c r="AT78" s="45"/>
      <c r="AU78" s="89">
        <f t="shared" si="15"/>
        <v>16.961908845652207</v>
      </c>
      <c r="AV78" s="86">
        <f t="shared" si="16"/>
        <v>8428.125</v>
      </c>
      <c r="AW78" s="18">
        <f t="shared" si="41"/>
        <v>197.34937336143781</v>
      </c>
      <c r="AX78" s="44">
        <f t="shared" si="42"/>
        <v>9.8674686680718935</v>
      </c>
      <c r="AY78" s="44">
        <f t="shared" si="17"/>
        <v>0</v>
      </c>
      <c r="AZ78" s="89">
        <f t="shared" si="18"/>
        <v>5.0313411481356196</v>
      </c>
      <c r="BA78" s="86">
        <f t="shared" si="19"/>
        <v>1000</v>
      </c>
      <c r="BB78" s="44">
        <f t="shared" si="43"/>
        <v>0.21107741531351473</v>
      </c>
      <c r="BC78" s="20">
        <f t="shared" si="44"/>
        <v>4.221548306270295E-3</v>
      </c>
      <c r="BD78" s="44">
        <f t="shared" si="20"/>
        <v>0</v>
      </c>
      <c r="BE78" s="45"/>
      <c r="BF78" s="85">
        <f t="shared" si="21"/>
        <v>1.5812786465569093</v>
      </c>
      <c r="BG78" s="85">
        <f t="shared" si="22"/>
        <v>11</v>
      </c>
      <c r="BH78" s="18">
        <f t="shared" si="45"/>
        <v>66338.616241390351</v>
      </c>
      <c r="BI78" s="18">
        <f t="shared" si="46"/>
        <v>46.437031368973244</v>
      </c>
      <c r="BJ78" s="44">
        <f t="shared" si="23"/>
        <v>0</v>
      </c>
      <c r="BK78" s="90"/>
      <c r="BL78" s="20"/>
      <c r="BM78" s="20"/>
      <c r="BN78" s="20"/>
      <c r="BO78" s="20"/>
      <c r="BP78" s="20"/>
      <c r="BQ78" s="20"/>
      <c r="BR78" s="20"/>
      <c r="BS78" s="20"/>
      <c r="BT78" s="20"/>
      <c r="BU78" s="20"/>
      <c r="BV78" s="44"/>
      <c r="BX78" s="44"/>
      <c r="BY78" s="44"/>
      <c r="CA78" s="20"/>
      <c r="CB78" s="20"/>
    </row>
    <row r="79" spans="1:80" x14ac:dyDescent="0.2">
      <c r="B79" s="75"/>
      <c r="E79" s="75"/>
      <c r="F79" s="44"/>
      <c r="G79" s="85"/>
      <c r="H79" s="33">
        <v>135000</v>
      </c>
      <c r="I79" s="86">
        <f t="shared" si="24"/>
        <v>39.236992881958379</v>
      </c>
      <c r="J79" s="86">
        <f t="shared" si="25"/>
        <v>389925.78446502058</v>
      </c>
      <c r="K79" s="85"/>
      <c r="L79" s="87">
        <f t="shared" si="0"/>
        <v>2.1175871723084751E-2</v>
      </c>
      <c r="M79" s="87">
        <f t="shared" si="1"/>
        <v>2.1175871723084751E-2</v>
      </c>
      <c r="N79" s="44">
        <f t="shared" si="2"/>
        <v>-1.6000000000000458</v>
      </c>
      <c r="O79" s="44">
        <f t="shared" si="3"/>
        <v>-1.6000000000000458</v>
      </c>
      <c r="P79" s="44">
        <f t="shared" si="26"/>
        <v>-1.8444027667159893E-14</v>
      </c>
      <c r="Q79" s="45"/>
      <c r="R79" s="88">
        <f t="shared" si="27"/>
        <v>3.0691181003627284E-2</v>
      </c>
      <c r="S79" s="88">
        <f t="shared" si="4"/>
        <v>0.61</v>
      </c>
      <c r="T79" s="44">
        <f t="shared" si="28"/>
        <v>0</v>
      </c>
      <c r="U79" s="75">
        <f t="shared" si="5"/>
        <v>4508.3581083461522</v>
      </c>
      <c r="V79" s="44">
        <f t="shared" si="6"/>
        <v>9.0167162166923021</v>
      </c>
      <c r="W79" s="20">
        <f t="shared" si="7"/>
        <v>12.490244773060919</v>
      </c>
      <c r="X79" s="20">
        <f t="shared" si="29"/>
        <v>12.452830188679243</v>
      </c>
      <c r="Y79" s="44">
        <f t="shared" si="8"/>
        <v>26.07360810695458</v>
      </c>
      <c r="Z79" s="44">
        <f t="shared" si="30"/>
        <v>22.999999999999908</v>
      </c>
      <c r="AA79" s="44">
        <f t="shared" si="9"/>
        <v>0</v>
      </c>
      <c r="AB79" s="45"/>
      <c r="AC79" s="86">
        <f t="shared" si="31"/>
        <v>888888.88888888888</v>
      </c>
      <c r="AD79" s="86">
        <f t="shared" si="10"/>
        <v>480000</v>
      </c>
      <c r="AE79" s="44">
        <f t="shared" si="11"/>
        <v>0</v>
      </c>
      <c r="AF79" s="87">
        <f t="shared" si="32"/>
        <v>2.0033258426966284E-3</v>
      </c>
      <c r="AG79" s="87">
        <f t="shared" si="33"/>
        <v>2.0682335999999994E-3</v>
      </c>
      <c r="AH79" s="44">
        <f t="shared" si="34"/>
        <v>-30.898876404494736</v>
      </c>
      <c r="AI79" s="44">
        <f t="shared" si="35"/>
        <v>0.49999999999972289</v>
      </c>
      <c r="AJ79" s="44">
        <f t="shared" si="36"/>
        <v>8.1310200155640639E-14</v>
      </c>
      <c r="AK79" s="45"/>
      <c r="AL79" s="86">
        <f t="shared" si="12"/>
        <v>40</v>
      </c>
      <c r="AM79" s="86">
        <f t="shared" si="13"/>
        <v>120000</v>
      </c>
      <c r="AN79" s="20"/>
      <c r="AO79" s="87">
        <f t="shared" si="14"/>
        <v>1.1282103896103894E-2</v>
      </c>
      <c r="AP79" s="87">
        <f t="shared" si="37"/>
        <v>1.1293385999999999E-2</v>
      </c>
      <c r="AQ79" s="44">
        <f t="shared" si="38"/>
        <v>3.9960039960038607</v>
      </c>
      <c r="AR79" s="44">
        <f t="shared" si="39"/>
        <v>4.9999999999998934</v>
      </c>
      <c r="AS79" s="44">
        <f t="shared" si="40"/>
        <v>2.0494455762018751E-14</v>
      </c>
      <c r="AT79" s="45"/>
      <c r="AU79" s="89">
        <f t="shared" si="15"/>
        <v>16.961908845652207</v>
      </c>
      <c r="AV79" s="86">
        <f t="shared" si="16"/>
        <v>8428.125</v>
      </c>
      <c r="AW79" s="18">
        <f t="shared" si="41"/>
        <v>197.34937336143781</v>
      </c>
      <c r="AX79" s="44">
        <f t="shared" si="42"/>
        <v>9.8674686680718935</v>
      </c>
      <c r="AY79" s="44">
        <f t="shared" si="17"/>
        <v>0</v>
      </c>
      <c r="AZ79" s="89">
        <f t="shared" si="18"/>
        <v>5.0313411481356196</v>
      </c>
      <c r="BA79" s="86">
        <f t="shared" si="19"/>
        <v>1000</v>
      </c>
      <c r="BB79" s="44">
        <f t="shared" si="43"/>
        <v>0.21107741531351473</v>
      </c>
      <c r="BC79" s="20">
        <f t="shared" si="44"/>
        <v>4.221548306270295E-3</v>
      </c>
      <c r="BD79" s="44">
        <f t="shared" si="20"/>
        <v>0</v>
      </c>
      <c r="BE79" s="45"/>
      <c r="BF79" s="85">
        <f t="shared" si="21"/>
        <v>1.5812786465569093</v>
      </c>
      <c r="BG79" s="85">
        <f t="shared" si="22"/>
        <v>11</v>
      </c>
      <c r="BH79" s="18">
        <f t="shared" si="45"/>
        <v>66338.616241390351</v>
      </c>
      <c r="BI79" s="18">
        <f t="shared" si="46"/>
        <v>46.437031368973244</v>
      </c>
      <c r="BJ79" s="44">
        <f t="shared" si="23"/>
        <v>0</v>
      </c>
      <c r="BK79" s="90"/>
      <c r="BL79" s="20"/>
      <c r="BM79" s="20"/>
      <c r="BN79" s="20"/>
      <c r="BO79" s="20"/>
      <c r="BP79" s="20"/>
      <c r="BQ79" s="20"/>
      <c r="BR79" s="20"/>
      <c r="BS79" s="20"/>
      <c r="BT79" s="20"/>
      <c r="BU79" s="20"/>
      <c r="BV79" s="44"/>
      <c r="BX79" s="44"/>
      <c r="BY79" s="44"/>
      <c r="CA79" s="20"/>
      <c r="CB79" s="20"/>
    </row>
    <row r="80" spans="1:80" x14ac:dyDescent="0.2">
      <c r="B80" s="18"/>
      <c r="E80" s="75"/>
      <c r="F80" s="44"/>
      <c r="G80" s="85"/>
      <c r="H80" s="33">
        <v>200000</v>
      </c>
      <c r="I80" s="86">
        <f t="shared" si="24"/>
        <v>39.236992881958379</v>
      </c>
      <c r="J80" s="86">
        <f t="shared" si="25"/>
        <v>389925.78446502058</v>
      </c>
      <c r="K80" s="85"/>
      <c r="L80" s="87">
        <f t="shared" si="0"/>
        <v>2.1175871723084751E-2</v>
      </c>
      <c r="M80" s="87">
        <f t="shared" si="1"/>
        <v>2.1175871723084751E-2</v>
      </c>
      <c r="N80" s="44">
        <f t="shared" si="2"/>
        <v>-1.6000000000000458</v>
      </c>
      <c r="O80" s="44">
        <f t="shared" si="3"/>
        <v>-1.6000000000000458</v>
      </c>
      <c r="P80" s="44">
        <f t="shared" si="26"/>
        <v>-1.8444027667159893E-14</v>
      </c>
      <c r="Q80" s="45"/>
      <c r="R80" s="88">
        <f t="shared" si="27"/>
        <v>3.0691181003627284E-2</v>
      </c>
      <c r="S80" s="88">
        <f t="shared" si="4"/>
        <v>0.61</v>
      </c>
      <c r="T80" s="44">
        <f t="shared" si="28"/>
        <v>0</v>
      </c>
      <c r="U80" s="75">
        <f t="shared" si="5"/>
        <v>4508.3581083461522</v>
      </c>
      <c r="V80" s="44">
        <f t="shared" si="6"/>
        <v>9.0167162166923021</v>
      </c>
      <c r="W80" s="20">
        <f t="shared" si="7"/>
        <v>12.490244773060919</v>
      </c>
      <c r="X80" s="20">
        <f t="shared" si="29"/>
        <v>12.452830188679243</v>
      </c>
      <c r="Y80" s="44">
        <f t="shared" si="8"/>
        <v>26.07360810695458</v>
      </c>
      <c r="Z80" s="44">
        <f t="shared" si="30"/>
        <v>22.999999999999908</v>
      </c>
      <c r="AA80" s="44">
        <f t="shared" si="9"/>
        <v>0</v>
      </c>
      <c r="AB80" s="45"/>
      <c r="AC80" s="86">
        <f t="shared" si="31"/>
        <v>888888.88888888888</v>
      </c>
      <c r="AD80" s="86">
        <f t="shared" si="10"/>
        <v>480000</v>
      </c>
      <c r="AE80" s="44">
        <f t="shared" si="11"/>
        <v>0</v>
      </c>
      <c r="AF80" s="87">
        <f t="shared" si="32"/>
        <v>2.0033258426966289E-3</v>
      </c>
      <c r="AG80" s="87">
        <f t="shared" si="33"/>
        <v>2.0682335999999998E-3</v>
      </c>
      <c r="AH80" s="44">
        <f t="shared" si="34"/>
        <v>-30.898876404494512</v>
      </c>
      <c r="AI80" s="44">
        <f t="shared" si="35"/>
        <v>0.49999999999994493</v>
      </c>
      <c r="AJ80" s="44">
        <f t="shared" si="36"/>
        <v>1.6157796184774741E-14</v>
      </c>
      <c r="AK80" s="45"/>
      <c r="AL80" s="86">
        <f t="shared" si="12"/>
        <v>40</v>
      </c>
      <c r="AM80" s="86">
        <f t="shared" si="13"/>
        <v>120000</v>
      </c>
      <c r="AN80" s="20"/>
      <c r="AO80" s="87">
        <f t="shared" si="14"/>
        <v>1.1282103896103894E-2</v>
      </c>
      <c r="AP80" s="87">
        <f t="shared" si="37"/>
        <v>1.1293385999999999E-2</v>
      </c>
      <c r="AQ80" s="44">
        <f t="shared" si="38"/>
        <v>3.9960039960038607</v>
      </c>
      <c r="AR80" s="44">
        <f t="shared" si="39"/>
        <v>4.9999999999998934</v>
      </c>
      <c r="AS80" s="44">
        <f t="shared" si="40"/>
        <v>2.0494455762018751E-14</v>
      </c>
      <c r="AT80" s="45"/>
      <c r="AU80" s="89">
        <f t="shared" si="15"/>
        <v>16.961908845652207</v>
      </c>
      <c r="AV80" s="86">
        <f t="shared" si="16"/>
        <v>8428.125</v>
      </c>
      <c r="AW80" s="18">
        <f t="shared" si="41"/>
        <v>197.34937336143781</v>
      </c>
      <c r="AX80" s="44">
        <f t="shared" si="42"/>
        <v>9.8674686680718935</v>
      </c>
      <c r="AY80" s="44">
        <f t="shared" si="17"/>
        <v>0</v>
      </c>
      <c r="AZ80" s="89">
        <f t="shared" si="18"/>
        <v>5.0313411481356196</v>
      </c>
      <c r="BA80" s="86">
        <f t="shared" si="19"/>
        <v>1000</v>
      </c>
      <c r="BB80" s="44">
        <f t="shared" si="43"/>
        <v>0.21107741531351473</v>
      </c>
      <c r="BC80" s="20">
        <f t="shared" si="44"/>
        <v>4.221548306270295E-3</v>
      </c>
      <c r="BD80" s="44">
        <f t="shared" si="20"/>
        <v>0</v>
      </c>
      <c r="BE80" s="45"/>
      <c r="BF80" s="85">
        <f t="shared" si="21"/>
        <v>1.5812786465569093</v>
      </c>
      <c r="BG80" s="85">
        <f t="shared" si="22"/>
        <v>11</v>
      </c>
      <c r="BH80" s="18">
        <f t="shared" si="45"/>
        <v>66338.616241390351</v>
      </c>
      <c r="BI80" s="18">
        <f t="shared" si="46"/>
        <v>46.437031368973244</v>
      </c>
      <c r="BJ80" s="44">
        <f t="shared" si="23"/>
        <v>0</v>
      </c>
      <c r="BK80" s="90"/>
      <c r="BL80" s="20"/>
      <c r="BM80" s="20"/>
      <c r="BN80" s="20"/>
      <c r="BO80" s="20"/>
      <c r="BP80" s="20"/>
      <c r="BQ80" s="20"/>
      <c r="BR80" s="20"/>
      <c r="BS80" s="20"/>
      <c r="BT80" s="20"/>
      <c r="BU80" s="20"/>
      <c r="BV80" s="44"/>
      <c r="BX80" s="44"/>
      <c r="BY80" s="44"/>
      <c r="CA80" s="20"/>
      <c r="CB80" s="20"/>
    </row>
    <row r="81" spans="2:80" x14ac:dyDescent="0.2">
      <c r="B81" s="44"/>
      <c r="F81" s="44"/>
      <c r="G81" s="85"/>
      <c r="H81" s="33">
        <v>300000</v>
      </c>
      <c r="I81" s="86">
        <f t="shared" si="24"/>
        <v>39.236992881958379</v>
      </c>
      <c r="J81" s="86">
        <f t="shared" si="25"/>
        <v>389925.78446502058</v>
      </c>
      <c r="K81" s="85"/>
      <c r="L81" s="87">
        <f t="shared" si="0"/>
        <v>2.1175871723084751E-2</v>
      </c>
      <c r="M81" s="87">
        <f t="shared" si="1"/>
        <v>2.1175871723084751E-2</v>
      </c>
      <c r="N81" s="44">
        <f t="shared" si="2"/>
        <v>-1.6000000000000458</v>
      </c>
      <c r="O81" s="44">
        <f t="shared" si="3"/>
        <v>-1.6000000000000458</v>
      </c>
      <c r="P81" s="44">
        <f t="shared" si="26"/>
        <v>-1.8444027667159893E-14</v>
      </c>
      <c r="Q81" s="45"/>
      <c r="R81" s="88">
        <f t="shared" si="27"/>
        <v>3.0691181003627284E-2</v>
      </c>
      <c r="S81" s="88">
        <f t="shared" si="4"/>
        <v>0.61</v>
      </c>
      <c r="T81" s="44">
        <f t="shared" si="28"/>
        <v>0</v>
      </c>
      <c r="U81" s="75">
        <f t="shared" si="5"/>
        <v>4508.3581083461522</v>
      </c>
      <c r="V81" s="44">
        <f t="shared" si="6"/>
        <v>9.0167162166923021</v>
      </c>
      <c r="W81" s="20">
        <f t="shared" si="7"/>
        <v>12.490244773060919</v>
      </c>
      <c r="X81" s="20">
        <f t="shared" si="29"/>
        <v>12.452830188679243</v>
      </c>
      <c r="Y81" s="44">
        <f t="shared" si="8"/>
        <v>26.07360810695458</v>
      </c>
      <c r="Z81" s="44">
        <f t="shared" si="30"/>
        <v>22.999999999999908</v>
      </c>
      <c r="AA81" s="44">
        <f t="shared" si="9"/>
        <v>0</v>
      </c>
      <c r="AB81" s="45"/>
      <c r="AC81" s="86">
        <f t="shared" si="31"/>
        <v>888888.88888888888</v>
      </c>
      <c r="AD81" s="86">
        <f t="shared" si="10"/>
        <v>480000</v>
      </c>
      <c r="AE81" s="44">
        <f t="shared" si="11"/>
        <v>0</v>
      </c>
      <c r="AF81" s="87">
        <f t="shared" si="32"/>
        <v>2.0033258426966289E-3</v>
      </c>
      <c r="AG81" s="87">
        <f t="shared" si="33"/>
        <v>2.0682335999999998E-3</v>
      </c>
      <c r="AH81" s="44">
        <f t="shared" si="34"/>
        <v>-30.898876404494512</v>
      </c>
      <c r="AI81" s="44">
        <f t="shared" si="35"/>
        <v>0.49999999999994493</v>
      </c>
      <c r="AJ81" s="44">
        <f t="shared" si="36"/>
        <v>1.6157796184774741E-14</v>
      </c>
      <c r="AK81" s="45"/>
      <c r="AL81" s="86">
        <f t="shared" si="12"/>
        <v>40</v>
      </c>
      <c r="AM81" s="86">
        <f t="shared" si="13"/>
        <v>120000</v>
      </c>
      <c r="AN81" s="20"/>
      <c r="AO81" s="87">
        <f t="shared" si="14"/>
        <v>1.1282103896103894E-2</v>
      </c>
      <c r="AP81" s="87">
        <f t="shared" si="37"/>
        <v>1.1293385999999999E-2</v>
      </c>
      <c r="AQ81" s="44">
        <f t="shared" si="38"/>
        <v>3.9960039960038607</v>
      </c>
      <c r="AR81" s="44">
        <f t="shared" si="39"/>
        <v>4.9999999999998934</v>
      </c>
      <c r="AS81" s="44">
        <f t="shared" si="40"/>
        <v>2.0494455762018751E-14</v>
      </c>
      <c r="AT81" s="45"/>
      <c r="AU81" s="89">
        <f t="shared" si="15"/>
        <v>16.961908845652207</v>
      </c>
      <c r="AV81" s="86">
        <f t="shared" si="16"/>
        <v>8428.125</v>
      </c>
      <c r="AW81" s="18">
        <f t="shared" si="41"/>
        <v>197.34937336143781</v>
      </c>
      <c r="AX81" s="44">
        <f t="shared" si="42"/>
        <v>9.8674686680718935</v>
      </c>
      <c r="AY81" s="44">
        <f t="shared" si="17"/>
        <v>0</v>
      </c>
      <c r="AZ81" s="89">
        <f t="shared" si="18"/>
        <v>5.0313411481356196</v>
      </c>
      <c r="BA81" s="86">
        <f t="shared" si="19"/>
        <v>1000</v>
      </c>
      <c r="BB81" s="44">
        <f t="shared" si="43"/>
        <v>0.21107741531351473</v>
      </c>
      <c r="BC81" s="20">
        <f t="shared" si="44"/>
        <v>4.221548306270295E-3</v>
      </c>
      <c r="BD81" s="44">
        <f t="shared" si="20"/>
        <v>0</v>
      </c>
      <c r="BE81" s="45"/>
      <c r="BF81" s="85">
        <f t="shared" si="21"/>
        <v>1.5812786465569093</v>
      </c>
      <c r="BG81" s="85">
        <f t="shared" si="22"/>
        <v>11</v>
      </c>
      <c r="BH81" s="18">
        <f t="shared" si="45"/>
        <v>66338.616241390351</v>
      </c>
      <c r="BI81" s="18">
        <f t="shared" si="46"/>
        <v>46.437031368973244</v>
      </c>
      <c r="BJ81" s="44">
        <f t="shared" si="23"/>
        <v>0</v>
      </c>
      <c r="BK81" s="90"/>
      <c r="BL81" s="20"/>
      <c r="BM81" s="20"/>
      <c r="BN81" s="20"/>
      <c r="BO81" s="20"/>
      <c r="BP81" s="20"/>
      <c r="BQ81" s="20"/>
      <c r="BR81" s="20"/>
      <c r="BS81" s="20"/>
      <c r="BT81" s="20"/>
      <c r="BU81" s="20"/>
      <c r="BV81" s="44"/>
      <c r="BX81" s="44"/>
      <c r="BY81" s="44"/>
      <c r="CA81" s="20"/>
      <c r="CB81" s="20"/>
    </row>
    <row r="82" spans="2:80" x14ac:dyDescent="0.2">
      <c r="B82" s="18"/>
      <c r="E82" s="75"/>
      <c r="F82" s="44"/>
      <c r="G82" s="85"/>
      <c r="H82" s="33">
        <v>400000</v>
      </c>
      <c r="I82" s="86">
        <f t="shared" si="24"/>
        <v>39.236992881958379</v>
      </c>
      <c r="J82" s="86">
        <f t="shared" si="25"/>
        <v>389925.78446502058</v>
      </c>
      <c r="K82" s="85"/>
      <c r="L82" s="87">
        <f t="shared" si="0"/>
        <v>2.1175871723084751E-2</v>
      </c>
      <c r="M82" s="87">
        <f t="shared" si="1"/>
        <v>2.1175871723084751E-2</v>
      </c>
      <c r="N82" s="44">
        <f t="shared" si="2"/>
        <v>-1.6000000000000458</v>
      </c>
      <c r="O82" s="44">
        <f t="shared" si="3"/>
        <v>-1.6000000000000458</v>
      </c>
      <c r="P82" s="44">
        <f t="shared" si="26"/>
        <v>-1.8444027667159893E-14</v>
      </c>
      <c r="Q82" s="45"/>
      <c r="R82" s="88">
        <f t="shared" si="27"/>
        <v>3.0691181003627284E-2</v>
      </c>
      <c r="S82" s="88">
        <f t="shared" si="4"/>
        <v>0.61</v>
      </c>
      <c r="T82" s="44">
        <f t="shared" si="28"/>
        <v>0</v>
      </c>
      <c r="U82" s="75">
        <f t="shared" si="5"/>
        <v>4508.3581083461522</v>
      </c>
      <c r="V82" s="44">
        <f t="shared" si="6"/>
        <v>9.0167162166923021</v>
      </c>
      <c r="W82" s="20">
        <f t="shared" si="7"/>
        <v>12.490244773060919</v>
      </c>
      <c r="X82" s="20">
        <f t="shared" si="29"/>
        <v>12.452830188679243</v>
      </c>
      <c r="Y82" s="44">
        <f t="shared" si="8"/>
        <v>26.07360810695458</v>
      </c>
      <c r="Z82" s="44">
        <f t="shared" si="30"/>
        <v>22.999999999999908</v>
      </c>
      <c r="AA82" s="44">
        <f t="shared" si="9"/>
        <v>0</v>
      </c>
      <c r="AB82" s="45"/>
      <c r="AC82" s="86">
        <f t="shared" si="31"/>
        <v>888888.88888888888</v>
      </c>
      <c r="AD82" s="86">
        <f t="shared" si="10"/>
        <v>480000</v>
      </c>
      <c r="AE82" s="44">
        <f t="shared" si="11"/>
        <v>0</v>
      </c>
      <c r="AF82" s="87">
        <f t="shared" si="32"/>
        <v>2.0033258426966289E-3</v>
      </c>
      <c r="AG82" s="87">
        <f t="shared" si="33"/>
        <v>2.0682335999999998E-3</v>
      </c>
      <c r="AH82" s="44">
        <f t="shared" si="34"/>
        <v>-30.898876404494512</v>
      </c>
      <c r="AI82" s="44">
        <f t="shared" si="35"/>
        <v>0.49999999999994493</v>
      </c>
      <c r="AJ82" s="44">
        <f t="shared" si="36"/>
        <v>1.6157796184774741E-14</v>
      </c>
      <c r="AK82" s="45"/>
      <c r="AL82" s="86">
        <f t="shared" si="12"/>
        <v>40</v>
      </c>
      <c r="AM82" s="86">
        <f t="shared" si="13"/>
        <v>120000</v>
      </c>
      <c r="AN82" s="20"/>
      <c r="AO82" s="87">
        <f t="shared" si="14"/>
        <v>1.1282103896103894E-2</v>
      </c>
      <c r="AP82" s="87">
        <f t="shared" si="37"/>
        <v>1.1293385999999999E-2</v>
      </c>
      <c r="AQ82" s="44">
        <f t="shared" si="38"/>
        <v>3.9960039960038607</v>
      </c>
      <c r="AR82" s="44">
        <f t="shared" si="39"/>
        <v>4.9999999999998934</v>
      </c>
      <c r="AS82" s="44">
        <f t="shared" si="40"/>
        <v>2.0494455762018751E-14</v>
      </c>
      <c r="AT82" s="45"/>
      <c r="AU82" s="89">
        <f t="shared" si="15"/>
        <v>16.961908845652207</v>
      </c>
      <c r="AV82" s="86">
        <f t="shared" si="16"/>
        <v>8428.125</v>
      </c>
      <c r="AW82" s="18">
        <f t="shared" si="41"/>
        <v>197.34937336143781</v>
      </c>
      <c r="AX82" s="44">
        <f t="shared" si="42"/>
        <v>9.8674686680718935</v>
      </c>
      <c r="AY82" s="44">
        <f t="shared" si="17"/>
        <v>0</v>
      </c>
      <c r="AZ82" s="89">
        <f t="shared" si="18"/>
        <v>5.0313411481356196</v>
      </c>
      <c r="BA82" s="86">
        <f t="shared" si="19"/>
        <v>1000</v>
      </c>
      <c r="BB82" s="44">
        <f t="shared" si="43"/>
        <v>0.21107741531351473</v>
      </c>
      <c r="BC82" s="20">
        <f t="shared" si="44"/>
        <v>4.221548306270295E-3</v>
      </c>
      <c r="BD82" s="44">
        <f t="shared" si="20"/>
        <v>0</v>
      </c>
      <c r="BE82" s="45"/>
      <c r="BF82" s="85">
        <f t="shared" si="21"/>
        <v>1.5812786465569093</v>
      </c>
      <c r="BG82" s="85">
        <f t="shared" si="22"/>
        <v>11</v>
      </c>
      <c r="BH82" s="18">
        <f t="shared" si="45"/>
        <v>66338.616241390351</v>
      </c>
      <c r="BI82" s="18">
        <f t="shared" si="46"/>
        <v>46.437031368973244</v>
      </c>
      <c r="BJ82" s="44">
        <f t="shared" si="23"/>
        <v>0</v>
      </c>
      <c r="BK82" s="90"/>
      <c r="BL82" s="20"/>
      <c r="BM82" s="20"/>
      <c r="BN82" s="20"/>
      <c r="BO82" s="20"/>
      <c r="BP82" s="20"/>
      <c r="BQ82" s="20"/>
      <c r="BR82" s="20"/>
      <c r="BS82" s="20"/>
      <c r="BT82" s="20"/>
      <c r="BU82" s="20"/>
      <c r="BV82" s="44"/>
      <c r="BX82" s="44"/>
      <c r="BY82" s="44"/>
      <c r="CA82" s="20"/>
      <c r="CB82" s="20"/>
    </row>
    <row r="83" spans="2:80" x14ac:dyDescent="0.2">
      <c r="B83" s="18"/>
      <c r="E83" s="75"/>
      <c r="F83" s="44"/>
      <c r="G83" s="85"/>
      <c r="H83" s="33">
        <v>500000</v>
      </c>
      <c r="I83" s="86">
        <f t="shared" si="24"/>
        <v>39.236992881958379</v>
      </c>
      <c r="J83" s="86">
        <f t="shared" si="25"/>
        <v>389925.78446502058</v>
      </c>
      <c r="K83" s="85"/>
      <c r="L83" s="87">
        <f t="shared" si="0"/>
        <v>2.1175871723084751E-2</v>
      </c>
      <c r="M83" s="87">
        <f t="shared" si="1"/>
        <v>2.1175871723084751E-2</v>
      </c>
      <c r="N83" s="44">
        <f t="shared" si="2"/>
        <v>-1.6000000000000458</v>
      </c>
      <c r="O83" s="44">
        <f t="shared" si="3"/>
        <v>-1.6000000000000458</v>
      </c>
      <c r="P83" s="44">
        <f t="shared" si="26"/>
        <v>-1.8444027667159893E-14</v>
      </c>
      <c r="Q83" s="45"/>
      <c r="R83" s="88">
        <f t="shared" si="27"/>
        <v>3.0691181003627284E-2</v>
      </c>
      <c r="S83" s="88">
        <f t="shared" si="4"/>
        <v>0.61</v>
      </c>
      <c r="T83" s="44">
        <f t="shared" si="28"/>
        <v>0</v>
      </c>
      <c r="U83" s="75">
        <f t="shared" si="5"/>
        <v>4508.3581083461522</v>
      </c>
      <c r="V83" s="44">
        <f t="shared" si="6"/>
        <v>9.0167162166923021</v>
      </c>
      <c r="W83" s="20">
        <f t="shared" si="7"/>
        <v>12.490244773060919</v>
      </c>
      <c r="X83" s="20">
        <f t="shared" si="29"/>
        <v>12.452830188679243</v>
      </c>
      <c r="Y83" s="44">
        <f t="shared" si="8"/>
        <v>26.07360810695458</v>
      </c>
      <c r="Z83" s="44">
        <f t="shared" si="30"/>
        <v>22.999999999999908</v>
      </c>
      <c r="AA83" s="44">
        <f t="shared" si="9"/>
        <v>0</v>
      </c>
      <c r="AB83" s="45"/>
      <c r="AC83" s="86">
        <f t="shared" si="31"/>
        <v>888888.88888888888</v>
      </c>
      <c r="AD83" s="86">
        <f t="shared" si="10"/>
        <v>480000</v>
      </c>
      <c r="AE83" s="44">
        <f t="shared" si="11"/>
        <v>0</v>
      </c>
      <c r="AF83" s="87">
        <f t="shared" si="32"/>
        <v>2.0033258426966289E-3</v>
      </c>
      <c r="AG83" s="87">
        <f t="shared" si="33"/>
        <v>2.0682335999999998E-3</v>
      </c>
      <c r="AH83" s="44">
        <f t="shared" si="34"/>
        <v>-30.898876404494512</v>
      </c>
      <c r="AI83" s="44">
        <f t="shared" si="35"/>
        <v>0.49999999999994493</v>
      </c>
      <c r="AJ83" s="44">
        <f t="shared" si="36"/>
        <v>1.6157796184774741E-14</v>
      </c>
      <c r="AK83" s="45"/>
      <c r="AL83" s="86">
        <f t="shared" si="12"/>
        <v>40</v>
      </c>
      <c r="AM83" s="86">
        <f t="shared" si="13"/>
        <v>120000</v>
      </c>
      <c r="AN83" s="20"/>
      <c r="AO83" s="87">
        <f t="shared" si="14"/>
        <v>1.1282103896103894E-2</v>
      </c>
      <c r="AP83" s="87">
        <f t="shared" si="37"/>
        <v>1.1293385999999999E-2</v>
      </c>
      <c r="AQ83" s="44">
        <f t="shared" si="38"/>
        <v>3.9960039960038607</v>
      </c>
      <c r="AR83" s="44">
        <f t="shared" si="39"/>
        <v>4.9999999999998934</v>
      </c>
      <c r="AS83" s="44">
        <f t="shared" si="40"/>
        <v>2.0494455762018751E-14</v>
      </c>
      <c r="AT83" s="45"/>
      <c r="AU83" s="89">
        <f t="shared" si="15"/>
        <v>16.961908845652207</v>
      </c>
      <c r="AV83" s="86">
        <f t="shared" si="16"/>
        <v>8428.125</v>
      </c>
      <c r="AW83" s="18">
        <f t="shared" si="41"/>
        <v>197.34937336143781</v>
      </c>
      <c r="AX83" s="44">
        <f t="shared" si="42"/>
        <v>9.8674686680718935</v>
      </c>
      <c r="AY83" s="44">
        <f t="shared" si="17"/>
        <v>0</v>
      </c>
      <c r="AZ83" s="89">
        <f t="shared" si="18"/>
        <v>5.0313411481356196</v>
      </c>
      <c r="BA83" s="86">
        <f t="shared" si="19"/>
        <v>1000</v>
      </c>
      <c r="BB83" s="44">
        <f t="shared" si="43"/>
        <v>0.21107741531351473</v>
      </c>
      <c r="BC83" s="20">
        <f t="shared" si="44"/>
        <v>4.221548306270295E-3</v>
      </c>
      <c r="BD83" s="44">
        <f t="shared" si="20"/>
        <v>0</v>
      </c>
      <c r="BE83" s="45"/>
      <c r="BF83" s="85">
        <f t="shared" si="21"/>
        <v>1.5812786465569093</v>
      </c>
      <c r="BG83" s="85">
        <f t="shared" si="22"/>
        <v>11</v>
      </c>
      <c r="BH83" s="18">
        <f t="shared" si="45"/>
        <v>66338.616241390351</v>
      </c>
      <c r="BI83" s="18">
        <f t="shared" si="46"/>
        <v>46.437031368973244</v>
      </c>
      <c r="BJ83" s="44">
        <f t="shared" si="23"/>
        <v>0</v>
      </c>
      <c r="BK83" s="90"/>
      <c r="BL83" s="20"/>
      <c r="BM83" s="20"/>
      <c r="BN83" s="20"/>
      <c r="BO83" s="20"/>
      <c r="BP83" s="20"/>
      <c r="BQ83" s="20"/>
      <c r="BR83" s="20"/>
      <c r="BS83" s="20"/>
      <c r="BT83" s="20"/>
      <c r="BU83" s="20"/>
      <c r="BV83" s="44"/>
      <c r="BX83" s="44"/>
      <c r="BY83" s="44"/>
      <c r="CA83" s="20"/>
      <c r="CB83" s="20"/>
    </row>
    <row r="84" spans="2:80" x14ac:dyDescent="0.2">
      <c r="E84" s="75"/>
      <c r="F84" s="44"/>
      <c r="G84" s="85"/>
      <c r="H84" s="33">
        <v>600000</v>
      </c>
      <c r="I84" s="86">
        <f t="shared" si="24"/>
        <v>39.236992881958379</v>
      </c>
      <c r="J84" s="86">
        <f t="shared" si="25"/>
        <v>389925.78446502058</v>
      </c>
      <c r="K84" s="85"/>
      <c r="L84" s="87">
        <f t="shared" si="0"/>
        <v>2.1175871723084751E-2</v>
      </c>
      <c r="M84" s="87">
        <f t="shared" si="1"/>
        <v>2.1175871723084751E-2</v>
      </c>
      <c r="N84" s="44">
        <f t="shared" si="2"/>
        <v>-1.6000000000000458</v>
      </c>
      <c r="O84" s="44">
        <f t="shared" si="3"/>
        <v>-1.6000000000000458</v>
      </c>
      <c r="P84" s="44">
        <f t="shared" si="26"/>
        <v>-1.8444027667159893E-14</v>
      </c>
      <c r="Q84" s="45"/>
      <c r="R84" s="88">
        <f t="shared" si="27"/>
        <v>3.0691181003627284E-2</v>
      </c>
      <c r="S84" s="88">
        <f t="shared" si="4"/>
        <v>0.61</v>
      </c>
      <c r="T84" s="44">
        <f t="shared" si="28"/>
        <v>0</v>
      </c>
      <c r="U84" s="75">
        <f t="shared" si="5"/>
        <v>4508.3581083461522</v>
      </c>
      <c r="V84" s="44">
        <f t="shared" si="6"/>
        <v>9.0167162166923021</v>
      </c>
      <c r="W84" s="20">
        <f t="shared" si="7"/>
        <v>12.490244773060919</v>
      </c>
      <c r="X84" s="20">
        <f t="shared" si="29"/>
        <v>12.452830188679243</v>
      </c>
      <c r="Y84" s="44">
        <f t="shared" si="8"/>
        <v>26.07360810695458</v>
      </c>
      <c r="Z84" s="44">
        <f t="shared" si="30"/>
        <v>22.999999999999908</v>
      </c>
      <c r="AA84" s="44">
        <f t="shared" si="9"/>
        <v>0</v>
      </c>
      <c r="AB84" s="45"/>
      <c r="AC84" s="86">
        <f t="shared" si="31"/>
        <v>888888.88888888888</v>
      </c>
      <c r="AD84" s="86">
        <f t="shared" si="10"/>
        <v>480000</v>
      </c>
      <c r="AE84" s="44">
        <f t="shared" si="11"/>
        <v>0</v>
      </c>
      <c r="AF84" s="87">
        <f t="shared" si="32"/>
        <v>2.0033258426966289E-3</v>
      </c>
      <c r="AG84" s="87">
        <f t="shared" si="33"/>
        <v>2.0682335999999998E-3</v>
      </c>
      <c r="AH84" s="44">
        <f t="shared" si="34"/>
        <v>-30.898876404494512</v>
      </c>
      <c r="AI84" s="44">
        <f>(AG84/AF$15-1)*1000</f>
        <v>0.49999999999994493</v>
      </c>
      <c r="AJ84" s="44">
        <f t="shared" si="36"/>
        <v>1.6157796184774741E-14</v>
      </c>
      <c r="AK84" s="45"/>
      <c r="AL84" s="86">
        <f t="shared" si="12"/>
        <v>40</v>
      </c>
      <c r="AM84" s="86">
        <f t="shared" si="13"/>
        <v>120000</v>
      </c>
      <c r="AN84" s="20"/>
      <c r="AO84" s="87">
        <f t="shared" si="14"/>
        <v>1.1282103896103894E-2</v>
      </c>
      <c r="AP84" s="87">
        <f t="shared" si="37"/>
        <v>1.1293385999999999E-2</v>
      </c>
      <c r="AQ84" s="44">
        <f t="shared" si="38"/>
        <v>3.9960039960038607</v>
      </c>
      <c r="AR84" s="44">
        <f t="shared" si="39"/>
        <v>4.9999999999998934</v>
      </c>
      <c r="AS84" s="44">
        <f t="shared" si="40"/>
        <v>2.0494455762018751E-14</v>
      </c>
      <c r="AT84" s="45"/>
      <c r="AU84" s="89">
        <f t="shared" si="15"/>
        <v>16.961908845652207</v>
      </c>
      <c r="AV84" s="86">
        <f t="shared" si="16"/>
        <v>8428.125</v>
      </c>
      <c r="AW84" s="18">
        <f t="shared" si="41"/>
        <v>197.34937336143781</v>
      </c>
      <c r="AX84" s="44">
        <f t="shared" si="42"/>
        <v>9.8674686680718935</v>
      </c>
      <c r="AY84" s="44">
        <f t="shared" si="17"/>
        <v>0</v>
      </c>
      <c r="AZ84" s="89">
        <f t="shared" si="18"/>
        <v>5.0313411481356196</v>
      </c>
      <c r="BA84" s="86">
        <f t="shared" si="19"/>
        <v>1000</v>
      </c>
      <c r="BB84" s="44">
        <f t="shared" si="43"/>
        <v>0.21107741531351473</v>
      </c>
      <c r="BC84" s="20">
        <f t="shared" si="44"/>
        <v>4.221548306270295E-3</v>
      </c>
      <c r="BD84" s="44">
        <f t="shared" si="20"/>
        <v>0</v>
      </c>
      <c r="BE84" s="45"/>
      <c r="BF84" s="85">
        <f t="shared" si="21"/>
        <v>1.5812786465569093</v>
      </c>
      <c r="BG84" s="85">
        <f t="shared" si="22"/>
        <v>11</v>
      </c>
      <c r="BH84" s="18">
        <f t="shared" si="45"/>
        <v>66338.616241390351</v>
      </c>
      <c r="BI84" s="18">
        <f t="shared" si="46"/>
        <v>46.437031368973244</v>
      </c>
      <c r="BJ84" s="44">
        <f t="shared" si="23"/>
        <v>0</v>
      </c>
      <c r="BK84" s="90"/>
      <c r="BL84" s="20"/>
      <c r="BM84" s="20"/>
      <c r="BN84" s="20"/>
      <c r="BO84" s="20"/>
      <c r="BP84" s="20"/>
      <c r="BQ84" s="20"/>
      <c r="BR84" s="20"/>
      <c r="BS84" s="20"/>
      <c r="BT84" s="20"/>
      <c r="BU84" s="20"/>
      <c r="BV84" s="44"/>
      <c r="BX84" s="44"/>
      <c r="BY84" s="44"/>
      <c r="CA84" s="20"/>
      <c r="CB84" s="20"/>
    </row>
    <row r="85" spans="2:80" x14ac:dyDescent="0.2">
      <c r="E85" s="75"/>
      <c r="F85" s="44"/>
      <c r="G85" s="85"/>
      <c r="H85" s="33">
        <v>700000</v>
      </c>
      <c r="I85" s="86">
        <f t="shared" si="24"/>
        <v>39.236992881958379</v>
      </c>
      <c r="J85" s="86">
        <f t="shared" si="25"/>
        <v>389925.78446502058</v>
      </c>
      <c r="K85" s="85"/>
      <c r="L85" s="87">
        <f t="shared" si="0"/>
        <v>2.1175871723084751E-2</v>
      </c>
      <c r="M85" s="87">
        <f t="shared" si="1"/>
        <v>2.1175871723084751E-2</v>
      </c>
      <c r="N85" s="44">
        <f t="shared" si="2"/>
        <v>-1.6000000000000458</v>
      </c>
      <c r="O85" s="44">
        <f t="shared" si="3"/>
        <v>-1.6000000000000458</v>
      </c>
      <c r="P85" s="44">
        <f t="shared" si="26"/>
        <v>-1.8444027667159893E-14</v>
      </c>
      <c r="Q85" s="45"/>
      <c r="R85" s="88">
        <f t="shared" si="27"/>
        <v>3.0691181003627284E-2</v>
      </c>
      <c r="S85" s="88">
        <f t="shared" si="4"/>
        <v>0.61</v>
      </c>
      <c r="T85" s="44">
        <f t="shared" si="28"/>
        <v>0</v>
      </c>
      <c r="U85" s="75">
        <f t="shared" si="5"/>
        <v>4508.3581083461522</v>
      </c>
      <c r="V85" s="44">
        <f t="shared" si="6"/>
        <v>9.0167162166923021</v>
      </c>
      <c r="W85" s="20">
        <f t="shared" si="7"/>
        <v>12.490244773060919</v>
      </c>
      <c r="X85" s="20">
        <f t="shared" si="29"/>
        <v>12.452830188679243</v>
      </c>
      <c r="Y85" s="44">
        <f t="shared" si="8"/>
        <v>26.07360810695458</v>
      </c>
      <c r="Z85" s="44">
        <f t="shared" si="30"/>
        <v>22.999999999999908</v>
      </c>
      <c r="AA85" s="44">
        <f t="shared" si="9"/>
        <v>0</v>
      </c>
      <c r="AB85" s="45"/>
      <c r="AC85" s="86">
        <f t="shared" si="31"/>
        <v>888888.88888888888</v>
      </c>
      <c r="AD85" s="86">
        <f t="shared" si="10"/>
        <v>480000</v>
      </c>
      <c r="AE85" s="44">
        <f t="shared" si="11"/>
        <v>0</v>
      </c>
      <c r="AF85" s="87">
        <f t="shared" si="32"/>
        <v>2.0033258426966289E-3</v>
      </c>
      <c r="AG85" s="87">
        <f t="shared" si="33"/>
        <v>2.0682335999999998E-3</v>
      </c>
      <c r="AH85" s="44">
        <f>(AF85/AF$15-1)*1000</f>
        <v>-30.898876404494512</v>
      </c>
      <c r="AI85" s="44">
        <f t="shared" si="35"/>
        <v>0.49999999999994493</v>
      </c>
      <c r="AJ85" s="44">
        <f t="shared" si="36"/>
        <v>1.6157796184774741E-14</v>
      </c>
      <c r="AK85" s="45"/>
      <c r="AL85" s="86">
        <f t="shared" si="12"/>
        <v>40</v>
      </c>
      <c r="AM85" s="86">
        <f t="shared" si="13"/>
        <v>120000</v>
      </c>
      <c r="AN85" s="20"/>
      <c r="AO85" s="87">
        <f t="shared" si="14"/>
        <v>1.1282103896103894E-2</v>
      </c>
      <c r="AP85" s="87">
        <f t="shared" si="37"/>
        <v>1.1293385999999999E-2</v>
      </c>
      <c r="AQ85" s="44">
        <f t="shared" si="38"/>
        <v>3.9960039960038607</v>
      </c>
      <c r="AR85" s="44">
        <f t="shared" si="39"/>
        <v>4.9999999999998934</v>
      </c>
      <c r="AS85" s="44">
        <f t="shared" si="40"/>
        <v>2.0494455762018751E-14</v>
      </c>
      <c r="AT85" s="45"/>
      <c r="AU85" s="89">
        <f t="shared" si="15"/>
        <v>16.961908845652207</v>
      </c>
      <c r="AV85" s="86">
        <f t="shared" si="16"/>
        <v>8428.125</v>
      </c>
      <c r="AW85" s="18">
        <f t="shared" si="41"/>
        <v>197.34937336143781</v>
      </c>
      <c r="AX85" s="44">
        <f t="shared" si="42"/>
        <v>9.8674686680718935</v>
      </c>
      <c r="AY85" s="44">
        <f t="shared" si="17"/>
        <v>0</v>
      </c>
      <c r="AZ85" s="89">
        <f t="shared" si="18"/>
        <v>5.0313411481356196</v>
      </c>
      <c r="BA85" s="86">
        <f t="shared" si="19"/>
        <v>1000</v>
      </c>
      <c r="BB85" s="44">
        <f t="shared" si="43"/>
        <v>0.21107741531351473</v>
      </c>
      <c r="BC85" s="20">
        <f t="shared" si="44"/>
        <v>4.221548306270295E-3</v>
      </c>
      <c r="BD85" s="44">
        <f t="shared" si="20"/>
        <v>0</v>
      </c>
      <c r="BE85" s="45"/>
      <c r="BF85" s="85">
        <f t="shared" si="21"/>
        <v>1.5812786465569093</v>
      </c>
      <c r="BG85" s="85">
        <f t="shared" si="22"/>
        <v>11</v>
      </c>
      <c r="BH85" s="18">
        <f t="shared" si="45"/>
        <v>66338.616241390351</v>
      </c>
      <c r="BI85" s="18">
        <f t="shared" si="46"/>
        <v>46.437031368973244</v>
      </c>
      <c r="BJ85" s="44">
        <f t="shared" si="23"/>
        <v>0</v>
      </c>
      <c r="BK85" s="90"/>
      <c r="BL85" s="20"/>
      <c r="BM85" s="20"/>
      <c r="BN85" s="20"/>
      <c r="BO85" s="20"/>
      <c r="BP85" s="20"/>
      <c r="BQ85" s="20"/>
      <c r="BR85" s="20"/>
      <c r="BS85" s="20"/>
      <c r="BT85" s="20"/>
      <c r="BU85" s="20"/>
      <c r="BV85" s="44"/>
      <c r="BX85" s="44"/>
      <c r="BY85" s="44"/>
      <c r="CA85" s="20"/>
      <c r="CB85" s="20"/>
    </row>
    <row r="86" spans="2:80" x14ac:dyDescent="0.2">
      <c r="AH86" s="44"/>
    </row>
    <row r="87" spans="2:80" x14ac:dyDescent="0.2">
      <c r="AH87" s="44"/>
    </row>
    <row r="88" spans="2:80" x14ac:dyDescent="0.2">
      <c r="AH88" s="44"/>
    </row>
    <row r="89" spans="2:80" x14ac:dyDescent="0.2">
      <c r="AH89" s="44"/>
    </row>
    <row r="90" spans="2:80" x14ac:dyDescent="0.2">
      <c r="AH90" s="44"/>
    </row>
    <row r="91" spans="2:80" x14ac:dyDescent="0.2">
      <c r="AH91" s="44"/>
    </row>
    <row r="92" spans="2:80" x14ac:dyDescent="0.2">
      <c r="AH92" s="44"/>
    </row>
    <row r="93" spans="2:80" x14ac:dyDescent="0.2">
      <c r="AH93" s="44"/>
    </row>
  </sheetData>
  <mergeCells count="72">
    <mergeCell ref="N22:O22"/>
    <mergeCell ref="Y22:Z22"/>
    <mergeCell ref="AC22:AD22"/>
    <mergeCell ref="AH22:AI22"/>
    <mergeCell ref="AQ22:AR22"/>
    <mergeCell ref="N20:O20"/>
    <mergeCell ref="Y20:Z20"/>
    <mergeCell ref="AC20:AD20"/>
    <mergeCell ref="AH20:AI20"/>
    <mergeCell ref="AQ20:AR20"/>
    <mergeCell ref="N21:O21"/>
    <mergeCell ref="Y21:Z21"/>
    <mergeCell ref="AC21:AD21"/>
    <mergeCell ref="AH21:AI21"/>
    <mergeCell ref="AQ21:AR21"/>
    <mergeCell ref="AQ16:AR16"/>
    <mergeCell ref="N17:O17"/>
    <mergeCell ref="Y17:Z17"/>
    <mergeCell ref="AC17:AD17"/>
    <mergeCell ref="AH17:AI17"/>
    <mergeCell ref="AQ17:AR17"/>
    <mergeCell ref="L15:M15"/>
    <mergeCell ref="W15:X15"/>
    <mergeCell ref="AF15:AG15"/>
    <mergeCell ref="AO15:AP15"/>
    <mergeCell ref="N16:O16"/>
    <mergeCell ref="Y16:Z16"/>
    <mergeCell ref="AC16:AD16"/>
    <mergeCell ref="AH16:AI16"/>
    <mergeCell ref="BF13:BG13"/>
    <mergeCell ref="I14:J14"/>
    <mergeCell ref="R14:S14"/>
    <mergeCell ref="AC14:AD14"/>
    <mergeCell ref="AL14:AM14"/>
    <mergeCell ref="AU14:AV14"/>
    <mergeCell ref="AZ14:BA14"/>
    <mergeCell ref="BF14:BG14"/>
    <mergeCell ref="I13:J13"/>
    <mergeCell ref="R13:S13"/>
    <mergeCell ref="AC13:AD13"/>
    <mergeCell ref="AL13:AM13"/>
    <mergeCell ref="AU13:AV13"/>
    <mergeCell ref="AZ13:BA13"/>
    <mergeCell ref="BF11:BG11"/>
    <mergeCell ref="I12:J12"/>
    <mergeCell ref="R12:S12"/>
    <mergeCell ref="AC12:AD12"/>
    <mergeCell ref="AL12:AM12"/>
    <mergeCell ref="AU12:AV12"/>
    <mergeCell ref="AZ12:BA12"/>
    <mergeCell ref="BF12:BG12"/>
    <mergeCell ref="I11:J11"/>
    <mergeCell ref="R11:S11"/>
    <mergeCell ref="AC11:AD11"/>
    <mergeCell ref="AL11:AM11"/>
    <mergeCell ref="AU11:AV11"/>
    <mergeCell ref="AZ11:BA11"/>
    <mergeCell ref="AZ7:BA7"/>
    <mergeCell ref="BF7:BG7"/>
    <mergeCell ref="I8:J8"/>
    <mergeCell ref="R8:S8"/>
    <mergeCell ref="AC8:AD8"/>
    <mergeCell ref="AL8:AM8"/>
    <mergeCell ref="AU8:AV8"/>
    <mergeCell ref="AZ8:BA8"/>
    <mergeCell ref="BF8:BG8"/>
    <mergeCell ref="A1:C1"/>
    <mergeCell ref="I7:J7"/>
    <mergeCell ref="R7:S7"/>
    <mergeCell ref="AC7:AD7"/>
    <mergeCell ref="AL7:AM7"/>
    <mergeCell ref="AU7:AV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S2 Meteoric Diagenesis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2019-12-12T17:16:07Z</dcterms:created>
  <dcterms:modified xsi:type="dcterms:W3CDTF">2019-12-12T17:16:35Z</dcterms:modified>
</cp:coreProperties>
</file>