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nyrye/Desktop/Dellinger/"/>
    </mc:Choice>
  </mc:AlternateContent>
  <xr:revisionPtr revIDLastSave="0" documentId="8_{181A0A23-5951-DF4C-8433-0B5F78E15A52}" xr6:coauthVersionLast="45" xr6:coauthVersionMax="45" xr10:uidLastSave="{00000000-0000-0000-0000-000000000000}"/>
  <bookViews>
    <workbookView xWindow="13980" yWindow="8460" windowWidth="25640" windowHeight="14440" xr2:uid="{862167E3-EE92-E949-AF21-E1095F2ACF9A}"/>
  </bookViews>
  <sheets>
    <sheet name="S3 Marine Diagenesi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2" i="1" l="1"/>
  <c r="AD51" i="1"/>
  <c r="AD32" i="1"/>
  <c r="AD29" i="1"/>
  <c r="N19" i="1"/>
  <c r="AR18" i="1"/>
  <c r="AI18" i="1"/>
  <c r="AI19" i="1" s="1"/>
  <c r="Z18" i="1"/>
  <c r="AR17" i="1"/>
  <c r="AI17" i="1"/>
  <c r="N17" i="1"/>
  <c r="Z16" i="1"/>
  <c r="X15" i="1"/>
  <c r="L15" i="1"/>
  <c r="J10" i="1"/>
  <c r="BH9" i="1"/>
  <c r="BI9" i="1" s="1"/>
  <c r="BI10" i="1" s="1"/>
  <c r="BB9" i="1"/>
  <c r="BC9" i="1" s="1"/>
  <c r="BC10" i="1" s="1"/>
  <c r="AV9" i="1"/>
  <c r="AW9" i="1" s="1"/>
  <c r="AW10" i="1" s="1"/>
  <c r="AM9" i="1"/>
  <c r="AN9" i="1" s="1"/>
  <c r="AN10" i="1" s="1"/>
  <c r="AE9" i="1"/>
  <c r="AE10" i="1" s="1"/>
  <c r="AD9" i="1"/>
  <c r="R9" i="1"/>
  <c r="S9" i="1" s="1"/>
  <c r="S10" i="1" s="1"/>
  <c r="I9" i="1"/>
  <c r="J9" i="1" s="1"/>
  <c r="C8" i="1"/>
  <c r="C9" i="1" s="1"/>
  <c r="BH7" i="1"/>
  <c r="BK5" i="1" s="1"/>
  <c r="C7" i="1"/>
  <c r="BI6" i="1"/>
  <c r="BC6" i="1"/>
  <c r="AW6" i="1"/>
  <c r="AS6" i="1"/>
  <c r="AQ6" i="1" s="1"/>
  <c r="AR6" i="1"/>
  <c r="AP6" i="1" s="1"/>
  <c r="AJ6" i="1"/>
  <c r="AH6" i="1"/>
  <c r="AA6" i="1"/>
  <c r="F52" i="1" s="1"/>
  <c r="Z6" i="1"/>
  <c r="Y6" i="1"/>
  <c r="S6" i="1"/>
  <c r="O6" i="1"/>
  <c r="BH5" i="1"/>
  <c r="BE5" i="1"/>
  <c r="BB5" i="1"/>
  <c r="AY5" i="1"/>
  <c r="AX5" i="1"/>
  <c r="AV5" i="1"/>
  <c r="AS5" i="1"/>
  <c r="AQ5" i="1" s="1"/>
  <c r="AR5" i="1"/>
  <c r="AP5" i="1"/>
  <c r="AM5" i="1"/>
  <c r="AJ5" i="1"/>
  <c r="AH5" i="1" s="1"/>
  <c r="AI5" i="1"/>
  <c r="AG5" i="1"/>
  <c r="AD5" i="1"/>
  <c r="AA5" i="1"/>
  <c r="Z5" i="1"/>
  <c r="X5" i="1"/>
  <c r="V5" i="1"/>
  <c r="U5" i="1"/>
  <c r="R5" i="1"/>
  <c r="N5" i="1"/>
  <c r="O5" i="1" s="1"/>
  <c r="M5" i="1"/>
  <c r="L5" i="1"/>
  <c r="I5" i="1"/>
  <c r="C5" i="1"/>
  <c r="BJ4" i="1"/>
  <c r="BJ5" i="1" s="1"/>
  <c r="BD4" i="1"/>
  <c r="G3" i="1" s="1"/>
  <c r="I8" i="1" s="1"/>
  <c r="AX4" i="1"/>
  <c r="AQ4" i="1"/>
  <c r="AP4" i="1"/>
  <c r="AN4" i="1"/>
  <c r="AH4" i="1"/>
  <c r="AG4" i="1"/>
  <c r="AH24" i="1" s="1"/>
  <c r="AE4" i="1"/>
  <c r="AD4" i="1"/>
  <c r="Y4" i="1"/>
  <c r="X4" i="1"/>
  <c r="U4" i="1"/>
  <c r="M4" i="1"/>
  <c r="L4" i="1"/>
  <c r="C3" i="1"/>
  <c r="BB8" i="1" l="1"/>
  <c r="R8" i="1"/>
  <c r="AV8" i="1"/>
  <c r="I11" i="1"/>
  <c r="J5" i="1"/>
  <c r="I12" i="1"/>
  <c r="BH8" i="1"/>
  <c r="BH13" i="1"/>
  <c r="BH11" i="1"/>
  <c r="AV11" i="1"/>
  <c r="AV13" i="1"/>
  <c r="BB11" i="1"/>
  <c r="BB13" i="1"/>
  <c r="Z20" i="1"/>
  <c r="R13" i="1"/>
  <c r="Z22" i="1"/>
  <c r="R11" i="1"/>
  <c r="AV12" i="1"/>
  <c r="N20" i="1"/>
  <c r="I13" i="1"/>
  <c r="R12" i="1"/>
  <c r="Z21" i="1"/>
  <c r="BH6" i="1"/>
  <c r="AM8" i="1"/>
  <c r="AR22" i="1" s="1"/>
  <c r="G2" i="1"/>
  <c r="J4" i="1" s="1"/>
  <c r="AN6" i="1"/>
  <c r="BB12" i="1"/>
  <c r="N21" i="1"/>
  <c r="BD5" i="1"/>
  <c r="F51" i="1"/>
  <c r="X6" i="1"/>
  <c r="BH12" i="1"/>
  <c r="N22" i="1"/>
  <c r="AD81" i="1"/>
  <c r="AD79" i="1"/>
  <c r="AD78" i="1"/>
  <c r="AD76" i="1"/>
  <c r="AD85" i="1"/>
  <c r="AD73" i="1"/>
  <c r="AD70" i="1"/>
  <c r="AD84" i="1"/>
  <c r="AD77" i="1"/>
  <c r="AD82" i="1"/>
  <c r="AD71" i="1"/>
  <c r="AD69" i="1"/>
  <c r="AD63" i="1"/>
  <c r="AD60" i="1"/>
  <c r="AD83" i="1"/>
  <c r="AD67" i="1"/>
  <c r="AD75" i="1"/>
  <c r="AD68" i="1"/>
  <c r="AD64" i="1"/>
  <c r="AD80" i="1"/>
  <c r="AD72" i="1"/>
  <c r="AD65" i="1"/>
  <c r="AD62" i="1"/>
  <c r="AD58" i="1"/>
  <c r="AD55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66" i="1"/>
  <c r="AD74" i="1"/>
  <c r="AD56" i="1"/>
  <c r="AD54" i="1"/>
  <c r="AD52" i="1"/>
  <c r="AD57" i="1"/>
  <c r="AD61" i="1"/>
  <c r="AD59" i="1"/>
  <c r="AD31" i="1"/>
  <c r="AD27" i="1"/>
  <c r="AD26" i="1"/>
  <c r="AD30" i="1"/>
  <c r="AD28" i="1"/>
  <c r="AD53" i="1"/>
  <c r="Y5" i="1"/>
  <c r="N6" i="1"/>
  <c r="L6" i="1" s="1"/>
  <c r="M6" i="1"/>
  <c r="BB6" i="1"/>
  <c r="C12" i="1"/>
  <c r="AE6" i="1"/>
  <c r="AD8" i="1"/>
  <c r="AI22" i="1" s="1"/>
  <c r="AH50" i="1" l="1"/>
  <c r="AJ50" i="1" s="1"/>
  <c r="AK50" i="1" s="1"/>
  <c r="AG80" i="1"/>
  <c r="AI80" i="1" s="1"/>
  <c r="AH60" i="1"/>
  <c r="AJ60" i="1" s="1"/>
  <c r="AK60" i="1" s="1"/>
  <c r="AH33" i="1"/>
  <c r="AJ33" i="1" s="1"/>
  <c r="AK33" i="1" s="1"/>
  <c r="AH45" i="1"/>
  <c r="AJ45" i="1" s="1"/>
  <c r="AK45" i="1" s="1"/>
  <c r="AG63" i="1"/>
  <c r="AI63" i="1" s="1"/>
  <c r="AG52" i="1"/>
  <c r="AI52" i="1" s="1"/>
  <c r="AG34" i="1"/>
  <c r="AI34" i="1" s="1"/>
  <c r="AH68" i="1"/>
  <c r="AJ68" i="1" s="1"/>
  <c r="AK68" i="1" s="1"/>
  <c r="AM13" i="1"/>
  <c r="AG68" i="1"/>
  <c r="AI68" i="1" s="1"/>
  <c r="AR20" i="1"/>
  <c r="AI20" i="1"/>
  <c r="AH39" i="1"/>
  <c r="AJ39" i="1" s="1"/>
  <c r="AK39" i="1" s="1"/>
  <c r="AH32" i="1"/>
  <c r="AJ32" i="1" s="1"/>
  <c r="AK32" i="1" s="1"/>
  <c r="AG28" i="1"/>
  <c r="AI28" i="1" s="1"/>
  <c r="AH48" i="1"/>
  <c r="AJ48" i="1" s="1"/>
  <c r="AK48" i="1" s="1"/>
  <c r="AH38" i="1"/>
  <c r="AJ38" i="1" s="1"/>
  <c r="AK38" i="1" s="1"/>
  <c r="AG37" i="1"/>
  <c r="AI37" i="1" s="1"/>
  <c r="AG69" i="1"/>
  <c r="AI69" i="1" s="1"/>
  <c r="AG62" i="1"/>
  <c r="AI62" i="1" s="1"/>
  <c r="AG55" i="1"/>
  <c r="AI55" i="1" s="1"/>
  <c r="AG71" i="1"/>
  <c r="AI71" i="1" s="1"/>
  <c r="AH63" i="1"/>
  <c r="AJ63" i="1" s="1"/>
  <c r="AK63" i="1" s="1"/>
  <c r="AH69" i="1"/>
  <c r="AJ69" i="1" s="1"/>
  <c r="AK69" i="1" s="1"/>
  <c r="AG83" i="1"/>
  <c r="AI83" i="1" s="1"/>
  <c r="AH79" i="1"/>
  <c r="AJ79" i="1" s="1"/>
  <c r="AK79" i="1" s="1"/>
  <c r="AH85" i="1"/>
  <c r="AJ85" i="1" s="1"/>
  <c r="AK85" i="1" s="1"/>
  <c r="AH28" i="1"/>
  <c r="AJ28" i="1" s="1"/>
  <c r="AK28" i="1" s="1"/>
  <c r="AG29" i="1"/>
  <c r="AI29" i="1" s="1"/>
  <c r="AM12" i="1"/>
  <c r="AF85" i="1"/>
  <c r="AF84" i="1"/>
  <c r="AF83" i="1"/>
  <c r="AF82" i="1"/>
  <c r="AF81" i="1"/>
  <c r="AF80" i="1"/>
  <c r="AF79" i="1"/>
  <c r="AF77" i="1"/>
  <c r="AF74" i="1"/>
  <c r="AF71" i="1"/>
  <c r="AF68" i="1"/>
  <c r="AF76" i="1"/>
  <c r="AF75" i="1"/>
  <c r="AF73" i="1"/>
  <c r="AF67" i="1"/>
  <c r="AF64" i="1"/>
  <c r="AF61" i="1"/>
  <c r="AF58" i="1"/>
  <c r="AF57" i="1"/>
  <c r="AF56" i="1"/>
  <c r="AF55" i="1"/>
  <c r="AF54" i="1"/>
  <c r="AF53" i="1"/>
  <c r="AF72" i="1"/>
  <c r="AF70" i="1"/>
  <c r="AF65" i="1"/>
  <c r="AF62" i="1"/>
  <c r="AF78" i="1"/>
  <c r="AF60" i="1"/>
  <c r="AF52" i="1"/>
  <c r="AF66" i="1"/>
  <c r="AF50" i="1"/>
  <c r="AF47" i="1"/>
  <c r="AF44" i="1"/>
  <c r="AF32" i="1"/>
  <c r="AF31" i="1"/>
  <c r="AF30" i="1"/>
  <c r="AF29" i="1"/>
  <c r="AF69" i="1"/>
  <c r="AF59" i="1"/>
  <c r="AF40" i="1"/>
  <c r="AF37" i="1"/>
  <c r="AF34" i="1"/>
  <c r="AF49" i="1"/>
  <c r="AF46" i="1"/>
  <c r="AF43" i="1"/>
  <c r="AF41" i="1"/>
  <c r="AF38" i="1"/>
  <c r="AF35" i="1"/>
  <c r="AF63" i="1"/>
  <c r="AF28" i="1"/>
  <c r="AF51" i="1"/>
  <c r="AF48" i="1"/>
  <c r="AF45" i="1"/>
  <c r="AF26" i="1"/>
  <c r="AF39" i="1"/>
  <c r="AF42" i="1"/>
  <c r="AF33" i="1"/>
  <c r="AF36" i="1"/>
  <c r="AF27" i="1"/>
  <c r="AW85" i="1"/>
  <c r="AW84" i="1"/>
  <c r="AW83" i="1"/>
  <c r="AW82" i="1"/>
  <c r="AW81" i="1"/>
  <c r="AW80" i="1"/>
  <c r="AW79" i="1"/>
  <c r="AW78" i="1"/>
  <c r="AW77" i="1"/>
  <c r="AW76" i="1"/>
  <c r="AV85" i="1"/>
  <c r="AV84" i="1"/>
  <c r="AV83" i="1"/>
  <c r="AV82" i="1"/>
  <c r="AV81" i="1"/>
  <c r="AV80" i="1"/>
  <c r="AX80" i="1" s="1"/>
  <c r="AV79" i="1"/>
  <c r="AV76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V77" i="1"/>
  <c r="AV75" i="1"/>
  <c r="AV73" i="1"/>
  <c r="AV70" i="1"/>
  <c r="AV67" i="1"/>
  <c r="AV78" i="1"/>
  <c r="AX78" i="1" s="1"/>
  <c r="AW75" i="1"/>
  <c r="AV66" i="1"/>
  <c r="AV58" i="1"/>
  <c r="AV57" i="1"/>
  <c r="AV56" i="1"/>
  <c r="AV55" i="1"/>
  <c r="AX55" i="1" s="1"/>
  <c r="AV54" i="1"/>
  <c r="AV53" i="1"/>
  <c r="AV74" i="1"/>
  <c r="AV72" i="1"/>
  <c r="AV64" i="1"/>
  <c r="AV61" i="1"/>
  <c r="AV60" i="1"/>
  <c r="AW56" i="1"/>
  <c r="AW53" i="1"/>
  <c r="AV52" i="1"/>
  <c r="AV68" i="1"/>
  <c r="AW51" i="1"/>
  <c r="AV71" i="1"/>
  <c r="AV69" i="1"/>
  <c r="AV65" i="1"/>
  <c r="AV62" i="1"/>
  <c r="AW54" i="1"/>
  <c r="AV51" i="1"/>
  <c r="AX51" i="1" s="1"/>
  <c r="AW48" i="1"/>
  <c r="AW45" i="1"/>
  <c r="AW42" i="1"/>
  <c r="AV39" i="1"/>
  <c r="AV36" i="1"/>
  <c r="AV33" i="1"/>
  <c r="AX33" i="1" s="1"/>
  <c r="AV48" i="1"/>
  <c r="AV45" i="1"/>
  <c r="AV42" i="1"/>
  <c r="AW40" i="1"/>
  <c r="AW37" i="1"/>
  <c r="AW34" i="1"/>
  <c r="AV63" i="1"/>
  <c r="AV59" i="1"/>
  <c r="AW57" i="1"/>
  <c r="AW55" i="1"/>
  <c r="AW50" i="1"/>
  <c r="AW47" i="1"/>
  <c r="AW44" i="1"/>
  <c r="AV40" i="1"/>
  <c r="AV37" i="1"/>
  <c r="AV34" i="1"/>
  <c r="AW52" i="1"/>
  <c r="AW41" i="1"/>
  <c r="AW38" i="1"/>
  <c r="AW35" i="1"/>
  <c r="AW29" i="1"/>
  <c r="AV27" i="1"/>
  <c r="AW58" i="1"/>
  <c r="AW49" i="1"/>
  <c r="AW46" i="1"/>
  <c r="AW43" i="1"/>
  <c r="AV41" i="1"/>
  <c r="AV38" i="1"/>
  <c r="AV35" i="1"/>
  <c r="AW32" i="1"/>
  <c r="AV29" i="1"/>
  <c r="AV49" i="1"/>
  <c r="AV46" i="1"/>
  <c r="AV43" i="1"/>
  <c r="AV32" i="1"/>
  <c r="AW31" i="1"/>
  <c r="AW28" i="1"/>
  <c r="AV50" i="1"/>
  <c r="AV47" i="1"/>
  <c r="AV44" i="1"/>
  <c r="AW30" i="1"/>
  <c r="AV26" i="1"/>
  <c r="AX26" i="1" s="1"/>
  <c r="AW5" i="1"/>
  <c r="AV31" i="1"/>
  <c r="AV28" i="1"/>
  <c r="AV6" i="1"/>
  <c r="AW39" i="1"/>
  <c r="AV30" i="1"/>
  <c r="AX30" i="1" s="1"/>
  <c r="AW36" i="1"/>
  <c r="AW33" i="1"/>
  <c r="AW27" i="1"/>
  <c r="AW26" i="1"/>
  <c r="AM7" i="1"/>
  <c r="AN5" i="1"/>
  <c r="AR21" i="1"/>
  <c r="AD7" i="1"/>
  <c r="AG26" i="1"/>
  <c r="AI26" i="1" s="1"/>
  <c r="AE5" i="1"/>
  <c r="AE30" i="1"/>
  <c r="AE33" i="1"/>
  <c r="AE82" i="1"/>
  <c r="AE51" i="1"/>
  <c r="AH27" i="1"/>
  <c r="AJ27" i="1" s="1"/>
  <c r="AK27" i="1" s="1"/>
  <c r="AH42" i="1"/>
  <c r="AJ42" i="1" s="1"/>
  <c r="AK42" i="1" s="1"/>
  <c r="AH34" i="1"/>
  <c r="AJ34" i="1" s="1"/>
  <c r="AK34" i="1" s="1"/>
  <c r="AG30" i="1"/>
  <c r="AI30" i="1" s="1"/>
  <c r="AH30" i="1"/>
  <c r="AJ30" i="1" s="1"/>
  <c r="AK30" i="1" s="1"/>
  <c r="AG51" i="1"/>
  <c r="AI51" i="1" s="1"/>
  <c r="AH41" i="1"/>
  <c r="AJ41" i="1" s="1"/>
  <c r="AK41" i="1" s="1"/>
  <c r="AG40" i="1"/>
  <c r="AI40" i="1" s="1"/>
  <c r="AH51" i="1"/>
  <c r="AJ51" i="1" s="1"/>
  <c r="AK51" i="1" s="1"/>
  <c r="AH57" i="1"/>
  <c r="AJ57" i="1" s="1"/>
  <c r="AK57" i="1" s="1"/>
  <c r="AG65" i="1"/>
  <c r="AI65" i="1" s="1"/>
  <c r="AG56" i="1"/>
  <c r="AI56" i="1" s="1"/>
  <c r="AG74" i="1"/>
  <c r="AI74" i="1" s="1"/>
  <c r="AH64" i="1"/>
  <c r="AJ64" i="1" s="1"/>
  <c r="AK64" i="1" s="1"/>
  <c r="AH70" i="1"/>
  <c r="AJ70" i="1" s="1"/>
  <c r="AK70" i="1" s="1"/>
  <c r="AG77" i="1"/>
  <c r="AI77" i="1" s="1"/>
  <c r="AG84" i="1"/>
  <c r="AI84" i="1" s="1"/>
  <c r="AH80" i="1"/>
  <c r="AJ80" i="1" s="1"/>
  <c r="AK80" i="1" s="1"/>
  <c r="AE63" i="1"/>
  <c r="M28" i="1"/>
  <c r="O28" i="1" s="1"/>
  <c r="P28" i="1" s="1"/>
  <c r="L72" i="1"/>
  <c r="N72" i="1" s="1"/>
  <c r="AI21" i="1"/>
  <c r="AM11" i="1"/>
  <c r="AM28" i="1" s="1"/>
  <c r="AD11" i="1"/>
  <c r="AE80" i="1" s="1"/>
  <c r="AG31" i="1"/>
  <c r="AI31" i="1" s="1"/>
  <c r="S85" i="1"/>
  <c r="S84" i="1"/>
  <c r="S83" i="1"/>
  <c r="S82" i="1"/>
  <c r="S81" i="1"/>
  <c r="S80" i="1"/>
  <c r="S79" i="1"/>
  <c r="R85" i="1"/>
  <c r="R84" i="1"/>
  <c r="R83" i="1"/>
  <c r="R82" i="1"/>
  <c r="R81" i="1"/>
  <c r="R80" i="1"/>
  <c r="R79" i="1"/>
  <c r="S78" i="1"/>
  <c r="S75" i="1"/>
  <c r="S72" i="1"/>
  <c r="S69" i="1"/>
  <c r="S66" i="1"/>
  <c r="S77" i="1"/>
  <c r="R75" i="1"/>
  <c r="R72" i="1"/>
  <c r="R69" i="1"/>
  <c r="R73" i="1"/>
  <c r="R71" i="1"/>
  <c r="R65" i="1"/>
  <c r="R62" i="1"/>
  <c r="S59" i="1"/>
  <c r="S58" i="1"/>
  <c r="S57" i="1"/>
  <c r="S56" i="1"/>
  <c r="S55" i="1"/>
  <c r="S54" i="1"/>
  <c r="S53" i="1"/>
  <c r="R78" i="1"/>
  <c r="S70" i="1"/>
  <c r="S68" i="1"/>
  <c r="S67" i="1"/>
  <c r="S63" i="1"/>
  <c r="S60" i="1"/>
  <c r="R59" i="1"/>
  <c r="R58" i="1"/>
  <c r="R57" i="1"/>
  <c r="R56" i="1"/>
  <c r="R55" i="1"/>
  <c r="R54" i="1"/>
  <c r="R53" i="1"/>
  <c r="R77" i="1"/>
  <c r="R70" i="1"/>
  <c r="R68" i="1"/>
  <c r="R67" i="1"/>
  <c r="R63" i="1"/>
  <c r="R76" i="1"/>
  <c r="R74" i="1"/>
  <c r="R64" i="1"/>
  <c r="S52" i="1"/>
  <c r="S73" i="1"/>
  <c r="R60" i="1"/>
  <c r="R52" i="1"/>
  <c r="S61" i="1"/>
  <c r="R48" i="1"/>
  <c r="R45" i="1"/>
  <c r="S41" i="1"/>
  <c r="S38" i="1"/>
  <c r="S35" i="1"/>
  <c r="R32" i="1"/>
  <c r="R31" i="1"/>
  <c r="R30" i="1"/>
  <c r="R29" i="1"/>
  <c r="R61" i="1"/>
  <c r="S50" i="1"/>
  <c r="S47" i="1"/>
  <c r="S44" i="1"/>
  <c r="R41" i="1"/>
  <c r="R38" i="1"/>
  <c r="R35" i="1"/>
  <c r="S74" i="1"/>
  <c r="S71" i="1"/>
  <c r="R66" i="1"/>
  <c r="R50" i="1"/>
  <c r="R47" i="1"/>
  <c r="R44" i="1"/>
  <c r="S42" i="1"/>
  <c r="S39" i="1"/>
  <c r="S36" i="1"/>
  <c r="S33" i="1"/>
  <c r="S76" i="1"/>
  <c r="S51" i="1"/>
  <c r="S40" i="1"/>
  <c r="S37" i="1"/>
  <c r="S34" i="1"/>
  <c r="S31" i="1"/>
  <c r="S62" i="1"/>
  <c r="R51" i="1"/>
  <c r="S48" i="1"/>
  <c r="S45" i="1"/>
  <c r="R40" i="1"/>
  <c r="R37" i="1"/>
  <c r="R34" i="1"/>
  <c r="S27" i="1"/>
  <c r="S64" i="1"/>
  <c r="S49" i="1"/>
  <c r="S46" i="1"/>
  <c r="S43" i="1"/>
  <c r="R42" i="1"/>
  <c r="R39" i="1"/>
  <c r="R36" i="1"/>
  <c r="R33" i="1"/>
  <c r="R49" i="1"/>
  <c r="R46" i="1"/>
  <c r="S28" i="1"/>
  <c r="R26" i="1"/>
  <c r="R6" i="1"/>
  <c r="S5" i="1"/>
  <c r="S32" i="1"/>
  <c r="S29" i="1"/>
  <c r="R28" i="1"/>
  <c r="S30" i="1"/>
  <c r="R27" i="1"/>
  <c r="S26" i="1"/>
  <c r="R43" i="1"/>
  <c r="S65" i="1"/>
  <c r="AN47" i="1"/>
  <c r="AE46" i="1"/>
  <c r="AD6" i="1"/>
  <c r="AE69" i="1"/>
  <c r="AE31" i="1"/>
  <c r="AE36" i="1"/>
  <c r="AE74" i="1"/>
  <c r="AE61" i="1"/>
  <c r="AE83" i="1"/>
  <c r="AE81" i="1"/>
  <c r="AG73" i="1"/>
  <c r="AI73" i="1" s="1"/>
  <c r="AG33" i="1"/>
  <c r="AI33" i="1" s="1"/>
  <c r="AG45" i="1"/>
  <c r="AI45" i="1" s="1"/>
  <c r="AH37" i="1"/>
  <c r="AJ37" i="1" s="1"/>
  <c r="AK37" i="1" s="1"/>
  <c r="AH44" i="1"/>
  <c r="AJ44" i="1" s="1"/>
  <c r="AK44" i="1" s="1"/>
  <c r="AG35" i="1"/>
  <c r="AI35" i="1" s="1"/>
  <c r="AH53" i="1"/>
  <c r="AJ53" i="1" s="1"/>
  <c r="AK53" i="1" s="1"/>
  <c r="AG43" i="1"/>
  <c r="AI43" i="1" s="1"/>
  <c r="AH43" i="1"/>
  <c r="AJ43" i="1" s="1"/>
  <c r="AK43" i="1" s="1"/>
  <c r="AG64" i="1"/>
  <c r="AI64" i="1" s="1"/>
  <c r="AG60" i="1"/>
  <c r="AI60" i="1" s="1"/>
  <c r="AG70" i="1"/>
  <c r="AI70" i="1" s="1"/>
  <c r="AG57" i="1"/>
  <c r="AI57" i="1" s="1"/>
  <c r="AH59" i="1"/>
  <c r="AJ59" i="1" s="1"/>
  <c r="AK59" i="1" s="1"/>
  <c r="AH65" i="1"/>
  <c r="AJ65" i="1" s="1"/>
  <c r="AK65" i="1" s="1"/>
  <c r="AH71" i="1"/>
  <c r="AJ71" i="1" s="1"/>
  <c r="AK71" i="1" s="1"/>
  <c r="AG79" i="1"/>
  <c r="AI79" i="1" s="1"/>
  <c r="AG85" i="1"/>
  <c r="AI85" i="1" s="1"/>
  <c r="AI6" i="1" s="1"/>
  <c r="AG6" i="1" s="1"/>
  <c r="AH81" i="1"/>
  <c r="AJ81" i="1" s="1"/>
  <c r="AK81" i="1" s="1"/>
  <c r="AE26" i="1"/>
  <c r="AN46" i="1"/>
  <c r="AM6" i="1"/>
  <c r="J84" i="1"/>
  <c r="J81" i="1"/>
  <c r="J78" i="1"/>
  <c r="I85" i="1"/>
  <c r="I80" i="1"/>
  <c r="J77" i="1"/>
  <c r="I74" i="1"/>
  <c r="K74" i="1" s="1"/>
  <c r="I71" i="1"/>
  <c r="I68" i="1"/>
  <c r="I84" i="1"/>
  <c r="M84" i="1" s="1"/>
  <c r="O84" i="1" s="1"/>
  <c r="P84" i="1" s="1"/>
  <c r="J79" i="1"/>
  <c r="I77" i="1"/>
  <c r="M77" i="1" s="1"/>
  <c r="O77" i="1" s="1"/>
  <c r="P77" i="1" s="1"/>
  <c r="J75" i="1"/>
  <c r="J72" i="1"/>
  <c r="J69" i="1"/>
  <c r="J83" i="1"/>
  <c r="I83" i="1"/>
  <c r="J82" i="1"/>
  <c r="I81" i="1"/>
  <c r="J80" i="1"/>
  <c r="J76" i="1"/>
  <c r="J70" i="1"/>
  <c r="J68" i="1"/>
  <c r="J65" i="1"/>
  <c r="J62" i="1"/>
  <c r="J85" i="1"/>
  <c r="I82" i="1"/>
  <c r="I76" i="1"/>
  <c r="I72" i="1"/>
  <c r="I70" i="1"/>
  <c r="J67" i="1"/>
  <c r="I65" i="1"/>
  <c r="I62" i="1"/>
  <c r="I79" i="1"/>
  <c r="J74" i="1"/>
  <c r="I67" i="1"/>
  <c r="J63" i="1"/>
  <c r="I78" i="1"/>
  <c r="J71" i="1"/>
  <c r="J66" i="1"/>
  <c r="I60" i="1"/>
  <c r="I58" i="1"/>
  <c r="I55" i="1"/>
  <c r="I50" i="1"/>
  <c r="I49" i="1"/>
  <c r="I48" i="1"/>
  <c r="M48" i="1" s="1"/>
  <c r="O48" i="1" s="1"/>
  <c r="P48" i="1" s="1"/>
  <c r="I47" i="1"/>
  <c r="I46" i="1"/>
  <c r="I45" i="1"/>
  <c r="M45" i="1" s="1"/>
  <c r="O45" i="1" s="1"/>
  <c r="P45" i="1" s="1"/>
  <c r="I44" i="1"/>
  <c r="I43" i="1"/>
  <c r="I42" i="1"/>
  <c r="L42" i="1" s="1"/>
  <c r="N42" i="1" s="1"/>
  <c r="I41" i="1"/>
  <c r="I40" i="1"/>
  <c r="I39" i="1"/>
  <c r="K39" i="1" s="1"/>
  <c r="I38" i="1"/>
  <c r="I37" i="1"/>
  <c r="I36" i="1"/>
  <c r="I35" i="1"/>
  <c r="I34" i="1"/>
  <c r="L34" i="1" s="1"/>
  <c r="N34" i="1" s="1"/>
  <c r="I33" i="1"/>
  <c r="I75" i="1"/>
  <c r="I66" i="1"/>
  <c r="J57" i="1"/>
  <c r="J54" i="1"/>
  <c r="I69" i="1"/>
  <c r="L69" i="1" s="1"/>
  <c r="N69" i="1" s="1"/>
  <c r="J53" i="1"/>
  <c r="J52" i="1"/>
  <c r="J73" i="1"/>
  <c r="J58" i="1"/>
  <c r="J56" i="1"/>
  <c r="I53" i="1"/>
  <c r="I52" i="1"/>
  <c r="J50" i="1"/>
  <c r="J47" i="1"/>
  <c r="J44" i="1"/>
  <c r="J41" i="1"/>
  <c r="J38" i="1"/>
  <c r="J35" i="1"/>
  <c r="J32" i="1"/>
  <c r="J31" i="1"/>
  <c r="J30" i="1"/>
  <c r="J29" i="1"/>
  <c r="J28" i="1"/>
  <c r="J27" i="1"/>
  <c r="I73" i="1"/>
  <c r="I56" i="1"/>
  <c r="K56" i="1" s="1"/>
  <c r="I54" i="1"/>
  <c r="J60" i="1"/>
  <c r="J49" i="1"/>
  <c r="J46" i="1"/>
  <c r="J43" i="1"/>
  <c r="J42" i="1"/>
  <c r="J39" i="1"/>
  <c r="J36" i="1"/>
  <c r="J33" i="1"/>
  <c r="I31" i="1"/>
  <c r="I26" i="1"/>
  <c r="AY4" i="1"/>
  <c r="I57" i="1"/>
  <c r="K57" i="1" s="1"/>
  <c r="I30" i="1"/>
  <c r="I63" i="1"/>
  <c r="J61" i="1"/>
  <c r="J59" i="1"/>
  <c r="J64" i="1"/>
  <c r="I61" i="1"/>
  <c r="I59" i="1"/>
  <c r="J51" i="1"/>
  <c r="I64" i="1"/>
  <c r="J6" i="1"/>
  <c r="I32" i="1"/>
  <c r="I29" i="1"/>
  <c r="M29" i="1" s="1"/>
  <c r="O29" i="1" s="1"/>
  <c r="P29" i="1" s="1"/>
  <c r="J55" i="1"/>
  <c r="J48" i="1"/>
  <c r="J37" i="1"/>
  <c r="BK4" i="1"/>
  <c r="J34" i="1"/>
  <c r="BE4" i="1"/>
  <c r="I27" i="1"/>
  <c r="M27" i="1" s="1"/>
  <c r="O27" i="1" s="1"/>
  <c r="P27" i="1" s="1"/>
  <c r="J45" i="1"/>
  <c r="V4" i="1"/>
  <c r="J40" i="1"/>
  <c r="I28" i="1"/>
  <c r="J26" i="1"/>
  <c r="I51" i="1"/>
  <c r="AM63" i="1"/>
  <c r="AQ63" i="1" s="1"/>
  <c r="AS63" i="1" s="1"/>
  <c r="AT63" i="1" s="1"/>
  <c r="AM76" i="1"/>
  <c r="AQ76" i="1" s="1"/>
  <c r="AS76" i="1" s="1"/>
  <c r="AT76" i="1" s="1"/>
  <c r="L47" i="1"/>
  <c r="N47" i="1" s="1"/>
  <c r="M41" i="1"/>
  <c r="O41" i="1" s="1"/>
  <c r="P41" i="1" s="1"/>
  <c r="M30" i="1"/>
  <c r="O30" i="1" s="1"/>
  <c r="P30" i="1" s="1"/>
  <c r="M39" i="1"/>
  <c r="O39" i="1" s="1"/>
  <c r="P39" i="1" s="1"/>
  <c r="M58" i="1"/>
  <c r="O58" i="1" s="1"/>
  <c r="P58" i="1" s="1"/>
  <c r="L71" i="1"/>
  <c r="N71" i="1" s="1"/>
  <c r="L74" i="1"/>
  <c r="N74" i="1" s="1"/>
  <c r="M62" i="1"/>
  <c r="O62" i="1" s="1"/>
  <c r="P62" i="1" s="1"/>
  <c r="M68" i="1"/>
  <c r="O68" i="1" s="1"/>
  <c r="P68" i="1" s="1"/>
  <c r="M74" i="1"/>
  <c r="O74" i="1" s="1"/>
  <c r="P74" i="1" s="1"/>
  <c r="M78" i="1"/>
  <c r="O78" i="1" s="1"/>
  <c r="P78" i="1" s="1"/>
  <c r="AD12" i="1"/>
  <c r="AD13" i="1"/>
  <c r="BI85" i="1"/>
  <c r="BI84" i="1"/>
  <c r="BI83" i="1"/>
  <c r="BI82" i="1"/>
  <c r="BI81" i="1"/>
  <c r="BI80" i="1"/>
  <c r="BH85" i="1"/>
  <c r="BH82" i="1"/>
  <c r="BJ82" i="1" s="1"/>
  <c r="BI79" i="1"/>
  <c r="BH76" i="1"/>
  <c r="BH80" i="1"/>
  <c r="BJ80" i="1" s="1"/>
  <c r="BI77" i="1"/>
  <c r="BH75" i="1"/>
  <c r="BJ75" i="1" s="1"/>
  <c r="BH74" i="1"/>
  <c r="BJ74" i="1" s="1"/>
  <c r="BH71" i="1"/>
  <c r="BJ71" i="1" s="1"/>
  <c r="BH68" i="1"/>
  <c r="BJ68" i="1" s="1"/>
  <c r="BH65" i="1"/>
  <c r="BJ65" i="1" s="1"/>
  <c r="BH84" i="1"/>
  <c r="BH79" i="1"/>
  <c r="BH77" i="1"/>
  <c r="BJ77" i="1" s="1"/>
  <c r="BI72" i="1"/>
  <c r="BI69" i="1"/>
  <c r="BH83" i="1"/>
  <c r="BJ83" i="1" s="1"/>
  <c r="BI78" i="1"/>
  <c r="BI76" i="1"/>
  <c r="BI70" i="1"/>
  <c r="BI68" i="1"/>
  <c r="BI62" i="1"/>
  <c r="BI59" i="1"/>
  <c r="BH72" i="1"/>
  <c r="BJ72" i="1" s="1"/>
  <c r="BH70" i="1"/>
  <c r="BJ70" i="1" s="1"/>
  <c r="BH62" i="1"/>
  <c r="BJ62" i="1" s="1"/>
  <c r="BH59" i="1"/>
  <c r="BJ59" i="1" s="1"/>
  <c r="BI58" i="1"/>
  <c r="BI57" i="1"/>
  <c r="BI56" i="1"/>
  <c r="BI55" i="1"/>
  <c r="BI54" i="1"/>
  <c r="BI53" i="1"/>
  <c r="BH81" i="1"/>
  <c r="BJ81" i="1" s="1"/>
  <c r="BI75" i="1"/>
  <c r="BI74" i="1"/>
  <c r="BI67" i="1"/>
  <c r="BI65" i="1"/>
  <c r="BI63" i="1"/>
  <c r="BH78" i="1"/>
  <c r="BJ78" i="1" s="1"/>
  <c r="BI71" i="1"/>
  <c r="BH60" i="1"/>
  <c r="BJ60" i="1" s="1"/>
  <c r="BH58" i="1"/>
  <c r="BJ58" i="1" s="1"/>
  <c r="BH55" i="1"/>
  <c r="BJ55" i="1" s="1"/>
  <c r="BH69" i="1"/>
  <c r="BJ69" i="1" s="1"/>
  <c r="BI73" i="1"/>
  <c r="BH67" i="1"/>
  <c r="BJ67" i="1" s="1"/>
  <c r="BH63" i="1"/>
  <c r="BJ63" i="1" s="1"/>
  <c r="BH51" i="1"/>
  <c r="BJ51" i="1" s="1"/>
  <c r="BI48" i="1"/>
  <c r="BI45" i="1"/>
  <c r="BI42" i="1"/>
  <c r="BH40" i="1"/>
  <c r="BJ40" i="1" s="1"/>
  <c r="BH37" i="1"/>
  <c r="BH34" i="1"/>
  <c r="BJ34" i="1" s="1"/>
  <c r="BI31" i="1"/>
  <c r="BI30" i="1"/>
  <c r="BI29" i="1"/>
  <c r="BI28" i="1"/>
  <c r="BI66" i="1"/>
  <c r="BI64" i="1"/>
  <c r="BI61" i="1"/>
  <c r="BH56" i="1"/>
  <c r="BJ56" i="1" s="1"/>
  <c r="BH54" i="1"/>
  <c r="BH48" i="1"/>
  <c r="BJ48" i="1" s="1"/>
  <c r="BH45" i="1"/>
  <c r="BJ45" i="1" s="1"/>
  <c r="BH42" i="1"/>
  <c r="BI41" i="1"/>
  <c r="BI38" i="1"/>
  <c r="BI35" i="1"/>
  <c r="BI32" i="1"/>
  <c r="BH31" i="1"/>
  <c r="BJ31" i="1" s="1"/>
  <c r="BH30" i="1"/>
  <c r="BJ30" i="1" s="1"/>
  <c r="BH29" i="1"/>
  <c r="BH28" i="1"/>
  <c r="BH27" i="1"/>
  <c r="BJ27" i="1" s="1"/>
  <c r="BH26" i="1"/>
  <c r="BJ26" i="1" s="1"/>
  <c r="BH66" i="1"/>
  <c r="BH64" i="1"/>
  <c r="BJ64" i="1" s="1"/>
  <c r="BH61" i="1"/>
  <c r="BI52" i="1"/>
  <c r="BI50" i="1"/>
  <c r="BI47" i="1"/>
  <c r="BI44" i="1"/>
  <c r="BH41" i="1"/>
  <c r="BJ41" i="1" s="1"/>
  <c r="BH38" i="1"/>
  <c r="BJ38" i="1" s="1"/>
  <c r="BH35" i="1"/>
  <c r="BJ35" i="1" s="1"/>
  <c r="BH32" i="1"/>
  <c r="BJ32" i="1" s="1"/>
  <c r="BH50" i="1"/>
  <c r="BJ50" i="1" s="1"/>
  <c r="BH47" i="1"/>
  <c r="BJ47" i="1" s="1"/>
  <c r="BH44" i="1"/>
  <c r="BJ44" i="1" s="1"/>
  <c r="BI39" i="1"/>
  <c r="BI36" i="1"/>
  <c r="BI33" i="1"/>
  <c r="BH39" i="1"/>
  <c r="BJ39" i="1" s="1"/>
  <c r="BH36" i="1"/>
  <c r="BH33" i="1"/>
  <c r="BJ33" i="1" s="1"/>
  <c r="BI26" i="1"/>
  <c r="BI5" i="1"/>
  <c r="BI51" i="1"/>
  <c r="BH73" i="1"/>
  <c r="BJ73" i="1" s="1"/>
  <c r="BH57" i="1"/>
  <c r="BH52" i="1"/>
  <c r="BJ52" i="1" s="1"/>
  <c r="BI49" i="1"/>
  <c r="BI46" i="1"/>
  <c r="BI43" i="1"/>
  <c r="BH43" i="1"/>
  <c r="BJ43" i="1" s="1"/>
  <c r="BI60" i="1"/>
  <c r="BI37" i="1"/>
  <c r="BI40" i="1"/>
  <c r="BI27" i="1"/>
  <c r="BH49" i="1"/>
  <c r="BJ49" i="1" s="1"/>
  <c r="BH53" i="1"/>
  <c r="BJ53" i="1" s="1"/>
  <c r="BI34" i="1"/>
  <c r="BH46" i="1"/>
  <c r="BJ46" i="1" s="1"/>
  <c r="BC85" i="1"/>
  <c r="BC84" i="1"/>
  <c r="BC83" i="1"/>
  <c r="BC82" i="1"/>
  <c r="BC81" i="1"/>
  <c r="BC80" i="1"/>
  <c r="BC79" i="1"/>
  <c r="BB85" i="1"/>
  <c r="BB84" i="1"/>
  <c r="BB83" i="1"/>
  <c r="BD83" i="1" s="1"/>
  <c r="BB82" i="1"/>
  <c r="BB81" i="1"/>
  <c r="BD81" i="1" s="1"/>
  <c r="BB80" i="1"/>
  <c r="BD80" i="1" s="1"/>
  <c r="BC77" i="1"/>
  <c r="BC78" i="1"/>
  <c r="BB76" i="1"/>
  <c r="BD76" i="1" s="1"/>
  <c r="BB72" i="1"/>
  <c r="BD72" i="1" s="1"/>
  <c r="BB69" i="1"/>
  <c r="BD69" i="1" s="1"/>
  <c r="BB66" i="1"/>
  <c r="BD66" i="1" s="1"/>
  <c r="BB78" i="1"/>
  <c r="BD78" i="1" s="1"/>
  <c r="BC73" i="1"/>
  <c r="BC70" i="1"/>
  <c r="BC67" i="1"/>
  <c r="BB79" i="1"/>
  <c r="BB77" i="1"/>
  <c r="BD77" i="1" s="1"/>
  <c r="BC71" i="1"/>
  <c r="BC69" i="1"/>
  <c r="BB65" i="1"/>
  <c r="BD65" i="1" s="1"/>
  <c r="BC63" i="1"/>
  <c r="BC60" i="1"/>
  <c r="BC58" i="1"/>
  <c r="BC57" i="1"/>
  <c r="BC56" i="1"/>
  <c r="BC55" i="1"/>
  <c r="BC54" i="1"/>
  <c r="BC53" i="1"/>
  <c r="BC52" i="1"/>
  <c r="BC76" i="1"/>
  <c r="BB73" i="1"/>
  <c r="BD73" i="1" s="1"/>
  <c r="BB71" i="1"/>
  <c r="BD71" i="1" s="1"/>
  <c r="BB63" i="1"/>
  <c r="BD63" i="1" s="1"/>
  <c r="BB60" i="1"/>
  <c r="BD60" i="1" s="1"/>
  <c r="BB58" i="1"/>
  <c r="BD58" i="1" s="1"/>
  <c r="BB57" i="1"/>
  <c r="BB56" i="1"/>
  <c r="BD56" i="1" s="1"/>
  <c r="BB55" i="1"/>
  <c r="BD55" i="1" s="1"/>
  <c r="BB54" i="1"/>
  <c r="BB53" i="1"/>
  <c r="BD53" i="1" s="1"/>
  <c r="BC68" i="1"/>
  <c r="BC66" i="1"/>
  <c r="BC64" i="1"/>
  <c r="BC72" i="1"/>
  <c r="BB61" i="1"/>
  <c r="BB59" i="1"/>
  <c r="BD59" i="1" s="1"/>
  <c r="BB67" i="1"/>
  <c r="BD67" i="1" s="1"/>
  <c r="BB52" i="1"/>
  <c r="BD52" i="1" s="1"/>
  <c r="BC75" i="1"/>
  <c r="BB70" i="1"/>
  <c r="BD70" i="1" s="1"/>
  <c r="BB75" i="1"/>
  <c r="BD75" i="1" s="1"/>
  <c r="BC74" i="1"/>
  <c r="BB74" i="1"/>
  <c r="BD74" i="1" s="1"/>
  <c r="BB68" i="1"/>
  <c r="BD68" i="1" s="1"/>
  <c r="BB50" i="1"/>
  <c r="BD50" i="1" s="1"/>
  <c r="BB47" i="1"/>
  <c r="BD47" i="1" s="1"/>
  <c r="BB44" i="1"/>
  <c r="BD44" i="1" s="1"/>
  <c r="BB41" i="1"/>
  <c r="BD41" i="1" s="1"/>
  <c r="BB38" i="1"/>
  <c r="BD38" i="1" s="1"/>
  <c r="BB35" i="1"/>
  <c r="BD35" i="1" s="1"/>
  <c r="BB32" i="1"/>
  <c r="BD32" i="1" s="1"/>
  <c r="BB31" i="1"/>
  <c r="BD31" i="1" s="1"/>
  <c r="BB30" i="1"/>
  <c r="BD30" i="1" s="1"/>
  <c r="BB29" i="1"/>
  <c r="BB28" i="1"/>
  <c r="BD28" i="1" s="1"/>
  <c r="BC59" i="1"/>
  <c r="BC49" i="1"/>
  <c r="BC46" i="1"/>
  <c r="BC43" i="1"/>
  <c r="BC39" i="1"/>
  <c r="BC36" i="1"/>
  <c r="BC33" i="1"/>
  <c r="BC51" i="1"/>
  <c r="BB49" i="1"/>
  <c r="BD49" i="1" s="1"/>
  <c r="BB46" i="1"/>
  <c r="BD46" i="1" s="1"/>
  <c r="BB43" i="1"/>
  <c r="BD43" i="1" s="1"/>
  <c r="BB39" i="1"/>
  <c r="BD39" i="1" s="1"/>
  <c r="BB36" i="1"/>
  <c r="BB33" i="1"/>
  <c r="BD33" i="1" s="1"/>
  <c r="BB64" i="1"/>
  <c r="BD64" i="1" s="1"/>
  <c r="BC40" i="1"/>
  <c r="BC37" i="1"/>
  <c r="BC34" i="1"/>
  <c r="BB26" i="1"/>
  <c r="BD26" i="1" s="1"/>
  <c r="BB40" i="1"/>
  <c r="BD40" i="1" s="1"/>
  <c r="BB37" i="1"/>
  <c r="BD37" i="1" s="1"/>
  <c r="BB34" i="1"/>
  <c r="BD34" i="1" s="1"/>
  <c r="BC30" i="1"/>
  <c r="BC27" i="1"/>
  <c r="BC65" i="1"/>
  <c r="BC50" i="1"/>
  <c r="BC47" i="1"/>
  <c r="BC44" i="1"/>
  <c r="BB27" i="1"/>
  <c r="BD27" i="1" s="1"/>
  <c r="BC61" i="1"/>
  <c r="BB51" i="1"/>
  <c r="BD51" i="1" s="1"/>
  <c r="BC48" i="1"/>
  <c r="BC45" i="1"/>
  <c r="BC42" i="1"/>
  <c r="BC62" i="1"/>
  <c r="BB48" i="1"/>
  <c r="BB45" i="1"/>
  <c r="BD45" i="1" s="1"/>
  <c r="BC29" i="1"/>
  <c r="BC35" i="1"/>
  <c r="BC32" i="1"/>
  <c r="BB62" i="1"/>
  <c r="BD62" i="1" s="1"/>
  <c r="BC38" i="1"/>
  <c r="BC31" i="1"/>
  <c r="BC28" i="1"/>
  <c r="BC5" i="1"/>
  <c r="BC41" i="1"/>
  <c r="BB42" i="1"/>
  <c r="BC26" i="1"/>
  <c r="AP28" i="1" l="1"/>
  <c r="AR28" i="1" s="1"/>
  <c r="AQ28" i="1"/>
  <c r="AS28" i="1" s="1"/>
  <c r="AT28" i="1" s="1"/>
  <c r="BF55" i="1"/>
  <c r="BE55" i="1"/>
  <c r="BL75" i="1"/>
  <c r="BK75" i="1"/>
  <c r="BL81" i="1"/>
  <c r="BK81" i="1"/>
  <c r="K54" i="1"/>
  <c r="L54" i="1"/>
  <c r="N54" i="1" s="1"/>
  <c r="K36" i="1"/>
  <c r="L36" i="1"/>
  <c r="N36" i="1" s="1"/>
  <c r="K76" i="1"/>
  <c r="M76" i="1"/>
  <c r="O76" i="1" s="1"/>
  <c r="P76" i="1" s="1"/>
  <c r="L76" i="1"/>
  <c r="N76" i="1" s="1"/>
  <c r="T27" i="1"/>
  <c r="V27" i="1"/>
  <c r="X61" i="1"/>
  <c r="U61" i="1"/>
  <c r="V53" i="1"/>
  <c r="T53" i="1"/>
  <c r="AN64" i="1"/>
  <c r="AN39" i="1"/>
  <c r="AZ51" i="1"/>
  <c r="AY51" i="1"/>
  <c r="AZ59" i="1"/>
  <c r="AY59" i="1"/>
  <c r="AY82" i="1"/>
  <c r="AZ82" i="1"/>
  <c r="AM57" i="1"/>
  <c r="AP76" i="1"/>
  <c r="AR76" i="1" s="1"/>
  <c r="AM47" i="1"/>
  <c r="AM79" i="1"/>
  <c r="AM62" i="1"/>
  <c r="AN48" i="1"/>
  <c r="BF28" i="1"/>
  <c r="BE28" i="1"/>
  <c r="BF29" i="1"/>
  <c r="BE29" i="1"/>
  <c r="BF48" i="1"/>
  <c r="BE48" i="1"/>
  <c r="BF50" i="1"/>
  <c r="BE50" i="1"/>
  <c r="BE51" i="1"/>
  <c r="BF51" i="1"/>
  <c r="BF49" i="1"/>
  <c r="BE49" i="1"/>
  <c r="BE75" i="1"/>
  <c r="BF75" i="1"/>
  <c r="BF64" i="1"/>
  <c r="BE64" i="1"/>
  <c r="BF56" i="1"/>
  <c r="BE56" i="1"/>
  <c r="BF69" i="1"/>
  <c r="BE69" i="1"/>
  <c r="BE73" i="1"/>
  <c r="BF73" i="1"/>
  <c r="BE78" i="1"/>
  <c r="BF78" i="1"/>
  <c r="BD84" i="1"/>
  <c r="BE83" i="1"/>
  <c r="BF83" i="1"/>
  <c r="BL43" i="1"/>
  <c r="BK43" i="1"/>
  <c r="BL51" i="1"/>
  <c r="BK51" i="1"/>
  <c r="BL33" i="1"/>
  <c r="BK33" i="1"/>
  <c r="BL50" i="1"/>
  <c r="BK50" i="1"/>
  <c r="BL35" i="1"/>
  <c r="BK35" i="1"/>
  <c r="BJ54" i="1"/>
  <c r="BK29" i="1"/>
  <c r="BL29" i="1"/>
  <c r="BL42" i="1"/>
  <c r="BK42" i="1"/>
  <c r="BK73" i="1"/>
  <c r="BL73" i="1"/>
  <c r="BK58" i="1"/>
  <c r="BL58" i="1"/>
  <c r="BK62" i="1"/>
  <c r="BL62" i="1"/>
  <c r="BK69" i="1"/>
  <c r="BL69" i="1"/>
  <c r="BJ76" i="1"/>
  <c r="BL82" i="1"/>
  <c r="BK82" i="1"/>
  <c r="AN69" i="1"/>
  <c r="AM48" i="1"/>
  <c r="K28" i="1"/>
  <c r="L28" i="1"/>
  <c r="N28" i="1" s="1"/>
  <c r="K32" i="1"/>
  <c r="M32" i="1"/>
  <c r="O32" i="1" s="1"/>
  <c r="P32" i="1" s="1"/>
  <c r="L32" i="1"/>
  <c r="N32" i="1" s="1"/>
  <c r="K66" i="1"/>
  <c r="L66" i="1"/>
  <c r="N66" i="1" s="1"/>
  <c r="M66" i="1"/>
  <c r="O66" i="1" s="1"/>
  <c r="P66" i="1" s="1"/>
  <c r="K37" i="1"/>
  <c r="M37" i="1"/>
  <c r="O37" i="1" s="1"/>
  <c r="P37" i="1" s="1"/>
  <c r="K43" i="1"/>
  <c r="L43" i="1"/>
  <c r="N43" i="1" s="1"/>
  <c r="M43" i="1"/>
  <c r="O43" i="1" s="1"/>
  <c r="P43" i="1" s="1"/>
  <c r="K49" i="1"/>
  <c r="M49" i="1"/>
  <c r="O49" i="1" s="1"/>
  <c r="P49" i="1" s="1"/>
  <c r="L49" i="1"/>
  <c r="N49" i="1" s="1"/>
  <c r="K62" i="1"/>
  <c r="L62" i="1"/>
  <c r="N62" i="1" s="1"/>
  <c r="K82" i="1"/>
  <c r="M82" i="1"/>
  <c r="O82" i="1" s="1"/>
  <c r="P82" i="1" s="1"/>
  <c r="K68" i="1"/>
  <c r="L68" i="1"/>
  <c r="N68" i="1" s="1"/>
  <c r="AM49" i="1"/>
  <c r="AN45" i="1"/>
  <c r="X28" i="1"/>
  <c r="U28" i="1"/>
  <c r="V28" i="1"/>
  <c r="T28" i="1"/>
  <c r="U42" i="1"/>
  <c r="X42" i="1"/>
  <c r="X34" i="1"/>
  <c r="U34" i="1"/>
  <c r="T62" i="1"/>
  <c r="V62" i="1"/>
  <c r="T76" i="1"/>
  <c r="V76" i="1"/>
  <c r="U47" i="1"/>
  <c r="X47" i="1"/>
  <c r="X38" i="1"/>
  <c r="U38" i="1"/>
  <c r="X29" i="1"/>
  <c r="U29" i="1"/>
  <c r="V41" i="1"/>
  <c r="T41" i="1"/>
  <c r="T73" i="1"/>
  <c r="V73" i="1"/>
  <c r="U67" i="1"/>
  <c r="X67" i="1"/>
  <c r="U55" i="1"/>
  <c r="X55" i="1"/>
  <c r="T63" i="1"/>
  <c r="V63" i="1"/>
  <c r="V54" i="1"/>
  <c r="T54" i="1"/>
  <c r="X62" i="1"/>
  <c r="U62" i="1"/>
  <c r="U75" i="1"/>
  <c r="X75" i="1"/>
  <c r="T78" i="1"/>
  <c r="V78" i="1"/>
  <c r="U84" i="1"/>
  <c r="X84" i="1"/>
  <c r="T83" i="1"/>
  <c r="V83" i="1"/>
  <c r="L39" i="1"/>
  <c r="N39" i="1" s="1"/>
  <c r="AN54" i="1"/>
  <c r="AM31" i="1"/>
  <c r="AN43" i="1"/>
  <c r="AM41" i="1"/>
  <c r="AM60" i="1"/>
  <c r="AM26" i="1"/>
  <c r="AY39" i="1"/>
  <c r="AZ39" i="1"/>
  <c r="AZ30" i="1"/>
  <c r="AY30" i="1"/>
  <c r="AX32" i="1"/>
  <c r="AX35" i="1"/>
  <c r="AY58" i="1"/>
  <c r="AZ58" i="1"/>
  <c r="AZ52" i="1"/>
  <c r="AY52" i="1"/>
  <c r="AY50" i="1"/>
  <c r="AZ50" i="1"/>
  <c r="AY37" i="1"/>
  <c r="AZ37" i="1"/>
  <c r="AX36" i="1"/>
  <c r="AZ54" i="1"/>
  <c r="AY54" i="1"/>
  <c r="AX68" i="1"/>
  <c r="AX64" i="1"/>
  <c r="AX56" i="1"/>
  <c r="AX67" i="1"/>
  <c r="AZ60" i="1"/>
  <c r="AY60" i="1"/>
  <c r="AY66" i="1"/>
  <c r="AZ66" i="1"/>
  <c r="AZ72" i="1"/>
  <c r="AY72" i="1"/>
  <c r="AX81" i="1"/>
  <c r="AZ77" i="1"/>
  <c r="AY77" i="1"/>
  <c r="AY83" i="1"/>
  <c r="AZ83" i="1"/>
  <c r="AM73" i="1"/>
  <c r="AN63" i="1"/>
  <c r="AN72" i="1"/>
  <c r="AM33" i="1"/>
  <c r="AM82" i="1"/>
  <c r="AN65" i="1"/>
  <c r="AM34" i="1"/>
  <c r="AN57" i="1"/>
  <c r="AM36" i="1"/>
  <c r="BF35" i="1"/>
  <c r="BE35" i="1"/>
  <c r="BF72" i="1"/>
  <c r="BE72" i="1"/>
  <c r="U51" i="1"/>
  <c r="X51" i="1"/>
  <c r="U63" i="1"/>
  <c r="X63" i="1"/>
  <c r="AN66" i="1"/>
  <c r="AN32" i="1"/>
  <c r="AN49" i="1"/>
  <c r="AM74" i="1"/>
  <c r="AZ32" i="1"/>
  <c r="AY32" i="1"/>
  <c r="AY34" i="1"/>
  <c r="AZ34" i="1"/>
  <c r="AY65" i="1"/>
  <c r="AZ65" i="1"/>
  <c r="AN29" i="1"/>
  <c r="BF31" i="1"/>
  <c r="BE31" i="1"/>
  <c r="BF65" i="1"/>
  <c r="BE65" i="1"/>
  <c r="BD36" i="1"/>
  <c r="BF33" i="1"/>
  <c r="BE33" i="1"/>
  <c r="BE59" i="1"/>
  <c r="BF59" i="1"/>
  <c r="BF66" i="1"/>
  <c r="BE66" i="1"/>
  <c r="BD57" i="1"/>
  <c r="BE76" i="1"/>
  <c r="BF76" i="1"/>
  <c r="BF57" i="1"/>
  <c r="BE57" i="1"/>
  <c r="BF71" i="1"/>
  <c r="BE71" i="1"/>
  <c r="BE77" i="1"/>
  <c r="BF77" i="1"/>
  <c r="BD85" i="1"/>
  <c r="BE84" i="1"/>
  <c r="BF84" i="1"/>
  <c r="BL27" i="1"/>
  <c r="BK27" i="1"/>
  <c r="BL46" i="1"/>
  <c r="BK46" i="1"/>
  <c r="BL36" i="1"/>
  <c r="BK36" i="1"/>
  <c r="BL52" i="1"/>
  <c r="BK52" i="1"/>
  <c r="BJ28" i="1"/>
  <c r="BL38" i="1"/>
  <c r="BK38" i="1"/>
  <c r="BL30" i="1"/>
  <c r="BK30" i="1"/>
  <c r="BL45" i="1"/>
  <c r="BK45" i="1"/>
  <c r="BK63" i="1"/>
  <c r="BL63" i="1"/>
  <c r="BL53" i="1"/>
  <c r="BK53" i="1"/>
  <c r="BK68" i="1"/>
  <c r="BL68" i="1"/>
  <c r="BK72" i="1"/>
  <c r="BL72" i="1"/>
  <c r="BL79" i="1"/>
  <c r="BK79" i="1"/>
  <c r="BL83" i="1"/>
  <c r="BK83" i="1"/>
  <c r="L37" i="1"/>
  <c r="N37" i="1" s="1"/>
  <c r="AN55" i="1"/>
  <c r="AM32" i="1"/>
  <c r="AY6" i="1"/>
  <c r="I6" i="1"/>
  <c r="BK6" i="1"/>
  <c r="BE6" i="1"/>
  <c r="V6" i="1"/>
  <c r="K26" i="1"/>
  <c r="L26" i="1"/>
  <c r="N26" i="1" s="1"/>
  <c r="M26" i="1"/>
  <c r="O26" i="1" s="1"/>
  <c r="P26" i="1" s="1"/>
  <c r="K73" i="1"/>
  <c r="L73" i="1"/>
  <c r="N73" i="1" s="1"/>
  <c r="K75" i="1"/>
  <c r="M75" i="1"/>
  <c r="O75" i="1" s="1"/>
  <c r="P75" i="1" s="1"/>
  <c r="L75" i="1"/>
  <c r="N75" i="1" s="1"/>
  <c r="K38" i="1"/>
  <c r="L38" i="1"/>
  <c r="N38" i="1" s="1"/>
  <c r="K44" i="1"/>
  <c r="M44" i="1"/>
  <c r="O44" i="1" s="1"/>
  <c r="P44" i="1" s="1"/>
  <c r="K50" i="1"/>
  <c r="L50" i="1"/>
  <c r="N50" i="1" s="1"/>
  <c r="M50" i="1"/>
  <c r="O50" i="1" s="1"/>
  <c r="P50" i="1" s="1"/>
  <c r="K78" i="1"/>
  <c r="L78" i="1"/>
  <c r="N78" i="1" s="1"/>
  <c r="K65" i="1"/>
  <c r="M65" i="1"/>
  <c r="O65" i="1" s="1"/>
  <c r="P65" i="1" s="1"/>
  <c r="L65" i="1"/>
  <c r="N65" i="1" s="1"/>
  <c r="K71" i="1"/>
  <c r="M71" i="1"/>
  <c r="O71" i="1" s="1"/>
  <c r="P71" i="1" s="1"/>
  <c r="AN26" i="1"/>
  <c r="T65" i="1"/>
  <c r="V65" i="1"/>
  <c r="V29" i="1"/>
  <c r="T29" i="1"/>
  <c r="U46" i="1"/>
  <c r="X46" i="1"/>
  <c r="V43" i="1"/>
  <c r="T43" i="1"/>
  <c r="X37" i="1"/>
  <c r="U37" i="1"/>
  <c r="T31" i="1"/>
  <c r="V31" i="1"/>
  <c r="V33" i="1"/>
  <c r="T33" i="1"/>
  <c r="U50" i="1"/>
  <c r="X50" i="1"/>
  <c r="X41" i="1"/>
  <c r="U41" i="1"/>
  <c r="X30" i="1"/>
  <c r="U30" i="1"/>
  <c r="U45" i="1"/>
  <c r="X45" i="1"/>
  <c r="T52" i="1"/>
  <c r="V52" i="1"/>
  <c r="X68" i="1"/>
  <c r="U68" i="1"/>
  <c r="X56" i="1"/>
  <c r="U56" i="1"/>
  <c r="T67" i="1"/>
  <c r="V67" i="1"/>
  <c r="T55" i="1"/>
  <c r="V55" i="1"/>
  <c r="X65" i="1"/>
  <c r="U65" i="1"/>
  <c r="T77" i="1"/>
  <c r="V77" i="1"/>
  <c r="U79" i="1"/>
  <c r="X79" i="1"/>
  <c r="U85" i="1"/>
  <c r="X85" i="1"/>
  <c r="T84" i="1"/>
  <c r="V84" i="1"/>
  <c r="L56" i="1"/>
  <c r="N56" i="1" s="1"/>
  <c r="AN83" i="1"/>
  <c r="AM61" i="1"/>
  <c r="AN40" i="1"/>
  <c r="AM46" i="1"/>
  <c r="AZ26" i="1"/>
  <c r="AY26" i="1"/>
  <c r="AX44" i="1"/>
  <c r="AX43" i="1"/>
  <c r="AX38" i="1"/>
  <c r="AX27" i="1"/>
  <c r="AX34" i="1"/>
  <c r="AY55" i="1"/>
  <c r="AZ55" i="1"/>
  <c r="AY40" i="1"/>
  <c r="AZ40" i="1"/>
  <c r="AX39" i="1"/>
  <c r="AX62" i="1"/>
  <c r="AX52" i="1"/>
  <c r="AX72" i="1"/>
  <c r="AX57" i="1"/>
  <c r="AX70" i="1"/>
  <c r="AZ61" i="1"/>
  <c r="AY61" i="1"/>
  <c r="AZ67" i="1"/>
  <c r="AY67" i="1"/>
  <c r="AZ73" i="1"/>
  <c r="AY73" i="1"/>
  <c r="AX82" i="1"/>
  <c r="AZ78" i="1"/>
  <c r="AY78" i="1"/>
  <c r="AZ84" i="1"/>
  <c r="AY84" i="1"/>
  <c r="AN71" i="1"/>
  <c r="AM68" i="1"/>
  <c r="AN60" i="1"/>
  <c r="AN30" i="1"/>
  <c r="AN28" i="1"/>
  <c r="AM70" i="1"/>
  <c r="AM59" i="1"/>
  <c r="AN51" i="1"/>
  <c r="AM38" i="1"/>
  <c r="AP63" i="1"/>
  <c r="AR63" i="1" s="1"/>
  <c r="AM69" i="1"/>
  <c r="AN50" i="1"/>
  <c r="AN35" i="1"/>
  <c r="BF45" i="1"/>
  <c r="BE45" i="1"/>
  <c r="BL32" i="1"/>
  <c r="BK32" i="1"/>
  <c r="BK71" i="1"/>
  <c r="BL71" i="1"/>
  <c r="K29" i="1"/>
  <c r="L29" i="1"/>
  <c r="N29" i="1" s="1"/>
  <c r="K42" i="1"/>
  <c r="M42" i="1"/>
  <c r="O42" i="1" s="1"/>
  <c r="P42" i="1" s="1"/>
  <c r="V30" i="1"/>
  <c r="T30" i="1"/>
  <c r="T51" i="1"/>
  <c r="V51" i="1"/>
  <c r="V38" i="1"/>
  <c r="T38" i="1"/>
  <c r="T60" i="1"/>
  <c r="V60" i="1"/>
  <c r="T82" i="1"/>
  <c r="V82" i="1"/>
  <c r="AZ31" i="1"/>
  <c r="AY31" i="1"/>
  <c r="AY47" i="1"/>
  <c r="AZ47" i="1"/>
  <c r="AX61" i="1"/>
  <c r="AY71" i="1"/>
  <c r="AZ71" i="1"/>
  <c r="AN34" i="1"/>
  <c r="BF26" i="1"/>
  <c r="BE26" i="1"/>
  <c r="BF38" i="1"/>
  <c r="BE38" i="1"/>
  <c r="BD48" i="1"/>
  <c r="BF61" i="1"/>
  <c r="BE61" i="1"/>
  <c r="BF27" i="1"/>
  <c r="BE27" i="1"/>
  <c r="BF34" i="1"/>
  <c r="BE34" i="1"/>
  <c r="BF36" i="1"/>
  <c r="BE36" i="1"/>
  <c r="BF68" i="1"/>
  <c r="BE68" i="1"/>
  <c r="BF52" i="1"/>
  <c r="BE52" i="1"/>
  <c r="BF58" i="1"/>
  <c r="BE58" i="1"/>
  <c r="BE79" i="1"/>
  <c r="BF79" i="1"/>
  <c r="BE85" i="1"/>
  <c r="BF85" i="1"/>
  <c r="BL40" i="1"/>
  <c r="BK40" i="1"/>
  <c r="BL49" i="1"/>
  <c r="BK49" i="1"/>
  <c r="BL26" i="1"/>
  <c r="BK26" i="1"/>
  <c r="BL39" i="1"/>
  <c r="BK39" i="1"/>
  <c r="BJ61" i="1"/>
  <c r="BJ29" i="1"/>
  <c r="BL41" i="1"/>
  <c r="BK41" i="1"/>
  <c r="BK61" i="1"/>
  <c r="BL61" i="1"/>
  <c r="BK31" i="1"/>
  <c r="BL31" i="1"/>
  <c r="BL48" i="1"/>
  <c r="BK48" i="1"/>
  <c r="BK65" i="1"/>
  <c r="BL65" i="1"/>
  <c r="BL54" i="1"/>
  <c r="BK54" i="1"/>
  <c r="BK70" i="1"/>
  <c r="BL70" i="1"/>
  <c r="BL84" i="1"/>
  <c r="BK84" i="1"/>
  <c r="L57" i="1"/>
  <c r="N57" i="1" s="1"/>
  <c r="AN84" i="1"/>
  <c r="AM64" i="1"/>
  <c r="AN44" i="1"/>
  <c r="K64" i="1"/>
  <c r="L64" i="1"/>
  <c r="N64" i="1" s="1"/>
  <c r="M64" i="1"/>
  <c r="O64" i="1" s="1"/>
  <c r="P64" i="1" s="1"/>
  <c r="K31" i="1"/>
  <c r="M31" i="1"/>
  <c r="O31" i="1" s="1"/>
  <c r="P31" i="1" s="1"/>
  <c r="L31" i="1"/>
  <c r="N31" i="1" s="1"/>
  <c r="K52" i="1"/>
  <c r="M52" i="1"/>
  <c r="O52" i="1" s="1"/>
  <c r="P52" i="1" s="1"/>
  <c r="L52" i="1"/>
  <c r="N52" i="1" s="1"/>
  <c r="K33" i="1"/>
  <c r="M33" i="1"/>
  <c r="O33" i="1" s="1"/>
  <c r="P33" i="1" s="1"/>
  <c r="L33" i="1"/>
  <c r="N33" i="1" s="1"/>
  <c r="K45" i="1"/>
  <c r="L45" i="1"/>
  <c r="N45" i="1" s="1"/>
  <c r="K55" i="1"/>
  <c r="L55" i="1"/>
  <c r="N55" i="1" s="1"/>
  <c r="M55" i="1"/>
  <c r="O55" i="1" s="1"/>
  <c r="P55" i="1" s="1"/>
  <c r="K81" i="1"/>
  <c r="M81" i="1"/>
  <c r="O81" i="1" s="1"/>
  <c r="P81" i="1" s="1"/>
  <c r="AN85" i="1"/>
  <c r="U43" i="1"/>
  <c r="X43" i="1"/>
  <c r="V32" i="1"/>
  <c r="T32" i="1"/>
  <c r="U49" i="1"/>
  <c r="X49" i="1"/>
  <c r="V46" i="1"/>
  <c r="T46" i="1"/>
  <c r="X40" i="1"/>
  <c r="U40" i="1"/>
  <c r="V34" i="1"/>
  <c r="T34" i="1"/>
  <c r="V36" i="1"/>
  <c r="T36" i="1"/>
  <c r="X66" i="1"/>
  <c r="U66" i="1"/>
  <c r="V44" i="1"/>
  <c r="T44" i="1"/>
  <c r="X31" i="1"/>
  <c r="U31" i="1"/>
  <c r="U48" i="1"/>
  <c r="X48" i="1"/>
  <c r="X64" i="1"/>
  <c r="U64" i="1"/>
  <c r="U70" i="1"/>
  <c r="X70" i="1"/>
  <c r="U57" i="1"/>
  <c r="X57" i="1"/>
  <c r="T68" i="1"/>
  <c r="V68" i="1"/>
  <c r="V56" i="1"/>
  <c r="T56" i="1"/>
  <c r="X71" i="1"/>
  <c r="U71" i="1"/>
  <c r="T66" i="1"/>
  <c r="V66" i="1"/>
  <c r="U80" i="1"/>
  <c r="X80" i="1"/>
  <c r="T79" i="1"/>
  <c r="V79" i="1"/>
  <c r="T85" i="1"/>
  <c r="V85" i="1"/>
  <c r="L81" i="1"/>
  <c r="N81" i="1" s="1"/>
  <c r="AM84" i="1"/>
  <c r="AM53" i="1"/>
  <c r="AM40" i="1"/>
  <c r="AN27" i="1"/>
  <c r="AE78" i="1"/>
  <c r="AE60" i="1"/>
  <c r="AZ27" i="1"/>
  <c r="AY27" i="1"/>
  <c r="AX28" i="1"/>
  <c r="AX47" i="1"/>
  <c r="AX46" i="1"/>
  <c r="AX41" i="1"/>
  <c r="AZ29" i="1"/>
  <c r="AY29" i="1"/>
  <c r="AX37" i="1"/>
  <c r="AZ57" i="1"/>
  <c r="AY57" i="1"/>
  <c r="AX42" i="1"/>
  <c r="AY42" i="1"/>
  <c r="AZ42" i="1"/>
  <c r="AX65" i="1"/>
  <c r="AZ53" i="1"/>
  <c r="AY53" i="1"/>
  <c r="AX74" i="1"/>
  <c r="AX58" i="1"/>
  <c r="AX73" i="1"/>
  <c r="AZ62" i="1"/>
  <c r="AY62" i="1"/>
  <c r="AY68" i="1"/>
  <c r="AZ68" i="1"/>
  <c r="AY74" i="1"/>
  <c r="AZ74" i="1"/>
  <c r="AX83" i="1"/>
  <c r="AZ79" i="1"/>
  <c r="AY79" i="1"/>
  <c r="AZ85" i="1"/>
  <c r="AY85" i="1"/>
  <c r="AN61" i="1"/>
  <c r="AM42" i="1"/>
  <c r="AN36" i="1"/>
  <c r="AH76" i="1"/>
  <c r="AJ76" i="1" s="1"/>
  <c r="AK76" i="1" s="1"/>
  <c r="AG78" i="1"/>
  <c r="AI78" i="1" s="1"/>
  <c r="AH82" i="1"/>
  <c r="AJ82" i="1" s="1"/>
  <c r="AK82" i="1" s="1"/>
  <c r="AG58" i="1"/>
  <c r="AI58" i="1" s="1"/>
  <c r="AH55" i="1"/>
  <c r="AJ55" i="1" s="1"/>
  <c r="AK55" i="1" s="1"/>
  <c r="AG42" i="1"/>
  <c r="AI42" i="1" s="1"/>
  <c r="AG39" i="1"/>
  <c r="AI39" i="1" s="1"/>
  <c r="AH72" i="1"/>
  <c r="AJ72" i="1" s="1"/>
  <c r="AK72" i="1" s="1"/>
  <c r="AG67" i="1"/>
  <c r="AI67" i="1" s="1"/>
  <c r="AH78" i="1"/>
  <c r="AJ78" i="1" s="1"/>
  <c r="AK78" i="1" s="1"/>
  <c r="AG82" i="1"/>
  <c r="AI82" i="1" s="1"/>
  <c r="AH74" i="1"/>
  <c r="AJ74" i="1" s="1"/>
  <c r="AK74" i="1" s="1"/>
  <c r="AH62" i="1"/>
  <c r="AJ62" i="1" s="1"/>
  <c r="AK62" i="1" s="1"/>
  <c r="AG54" i="1"/>
  <c r="AI54" i="1" s="1"/>
  <c r="AG59" i="1"/>
  <c r="AI59" i="1" s="1"/>
  <c r="AH35" i="1"/>
  <c r="AJ35" i="1" s="1"/>
  <c r="AK35" i="1" s="1"/>
  <c r="AH56" i="1"/>
  <c r="AJ56" i="1" s="1"/>
  <c r="AK56" i="1" s="1"/>
  <c r="AG47" i="1"/>
  <c r="AI47" i="1" s="1"/>
  <c r="AH29" i="1"/>
  <c r="AJ29" i="1" s="1"/>
  <c r="AK29" i="1" s="1"/>
  <c r="AH36" i="1"/>
  <c r="AJ36" i="1" s="1"/>
  <c r="AK36" i="1" s="1"/>
  <c r="AG72" i="1"/>
  <c r="AI72" i="1" s="1"/>
  <c r="AG46" i="1"/>
  <c r="AI46" i="1" s="1"/>
  <c r="AG27" i="1"/>
  <c r="AI27" i="1" s="1"/>
  <c r="AG32" i="1"/>
  <c r="AI32" i="1" s="1"/>
  <c r="AH83" i="1"/>
  <c r="AJ83" i="1" s="1"/>
  <c r="AK83" i="1" s="1"/>
  <c r="AH77" i="1"/>
  <c r="AJ77" i="1" s="1"/>
  <c r="AK77" i="1" s="1"/>
  <c r="AH73" i="1"/>
  <c r="AJ73" i="1" s="1"/>
  <c r="AK73" i="1" s="1"/>
  <c r="AH67" i="1"/>
  <c r="AJ67" i="1" s="1"/>
  <c r="AK67" i="1" s="1"/>
  <c r="AG76" i="1"/>
  <c r="AI76" i="1" s="1"/>
  <c r="AG53" i="1"/>
  <c r="AI53" i="1" s="1"/>
  <c r="AG75" i="1"/>
  <c r="AI75" i="1" s="1"/>
  <c r="AH49" i="1"/>
  <c r="AJ49" i="1" s="1"/>
  <c r="AK49" i="1" s="1"/>
  <c r="AG49" i="1"/>
  <c r="AI49" i="1" s="1"/>
  <c r="AG41" i="1"/>
  <c r="AI41" i="1" s="1"/>
  <c r="AH26" i="1"/>
  <c r="AJ26" i="1" s="1"/>
  <c r="AK26" i="1" s="1"/>
  <c r="AH31" i="1"/>
  <c r="AJ31" i="1" s="1"/>
  <c r="AK31" i="1" s="1"/>
  <c r="AH52" i="1"/>
  <c r="AJ52" i="1" s="1"/>
  <c r="AK52" i="1" s="1"/>
  <c r="AH46" i="1"/>
  <c r="AJ46" i="1" s="1"/>
  <c r="AK46" i="1" s="1"/>
  <c r="AH58" i="1"/>
  <c r="AJ58" i="1" s="1"/>
  <c r="AK58" i="1" s="1"/>
  <c r="AH47" i="1"/>
  <c r="AJ47" i="1" s="1"/>
  <c r="AK47" i="1" s="1"/>
  <c r="AG48" i="1"/>
  <c r="AI48" i="1" s="1"/>
  <c r="AH40" i="1"/>
  <c r="AJ40" i="1" s="1"/>
  <c r="AK40" i="1" s="1"/>
  <c r="AN68" i="1"/>
  <c r="AM65" i="1"/>
  <c r="AM51" i="1"/>
  <c r="AN80" i="1"/>
  <c r="AM56" i="1"/>
  <c r="AM50" i="1"/>
  <c r="AH66" i="1"/>
  <c r="AJ66" i="1" s="1"/>
  <c r="AK66" i="1" s="1"/>
  <c r="AG38" i="1"/>
  <c r="AI38" i="1" s="1"/>
  <c r="BF47" i="1"/>
  <c r="BE47" i="1"/>
  <c r="BE82" i="1"/>
  <c r="BF82" i="1"/>
  <c r="BL57" i="1"/>
  <c r="BK57" i="1"/>
  <c r="K79" i="1"/>
  <c r="L79" i="1"/>
  <c r="N79" i="1" s="1"/>
  <c r="M79" i="1"/>
  <c r="O79" i="1" s="1"/>
  <c r="P79" i="1" s="1"/>
  <c r="K84" i="1"/>
  <c r="L84" i="1"/>
  <c r="N84" i="1" s="1"/>
  <c r="U39" i="1"/>
  <c r="X39" i="1"/>
  <c r="U44" i="1"/>
  <c r="X44" i="1"/>
  <c r="U60" i="1"/>
  <c r="X60" i="1"/>
  <c r="T59" i="1"/>
  <c r="V59" i="1"/>
  <c r="U83" i="1"/>
  <c r="X83" i="1"/>
  <c r="M36" i="1"/>
  <c r="O36" i="1" s="1"/>
  <c r="P36" i="1" s="1"/>
  <c r="AM45" i="1"/>
  <c r="AY49" i="1"/>
  <c r="AZ49" i="1"/>
  <c r="AM55" i="1"/>
  <c r="BD42" i="1"/>
  <c r="BF62" i="1"/>
  <c r="BE62" i="1"/>
  <c r="BF30" i="1"/>
  <c r="BE30" i="1"/>
  <c r="BF37" i="1"/>
  <c r="BE37" i="1"/>
  <c r="BF39" i="1"/>
  <c r="BE39" i="1"/>
  <c r="BD29" i="1"/>
  <c r="BF74" i="1"/>
  <c r="BE74" i="1"/>
  <c r="BF53" i="1"/>
  <c r="BE53" i="1"/>
  <c r="BF60" i="1"/>
  <c r="BE60" i="1"/>
  <c r="BD79" i="1"/>
  <c r="BE80" i="1"/>
  <c r="BF80" i="1"/>
  <c r="BL37" i="1"/>
  <c r="BK37" i="1"/>
  <c r="BJ42" i="1"/>
  <c r="BK64" i="1"/>
  <c r="BL64" i="1"/>
  <c r="BK67" i="1"/>
  <c r="BL67" i="1"/>
  <c r="BK55" i="1"/>
  <c r="BL55" i="1"/>
  <c r="BL76" i="1"/>
  <c r="BK76" i="1"/>
  <c r="BJ79" i="1"/>
  <c r="BJ85" i="1"/>
  <c r="BL85" i="1"/>
  <c r="BK85" i="1"/>
  <c r="L82" i="1"/>
  <c r="N82" i="1" s="1"/>
  <c r="AM85" i="1"/>
  <c r="AM54" i="1"/>
  <c r="AM44" i="1"/>
  <c r="K63" i="1"/>
  <c r="M63" i="1"/>
  <c r="O63" i="1" s="1"/>
  <c r="P63" i="1" s="1"/>
  <c r="L63" i="1"/>
  <c r="N63" i="1" s="1"/>
  <c r="K53" i="1"/>
  <c r="M53" i="1"/>
  <c r="O53" i="1" s="1"/>
  <c r="P53" i="1" s="1"/>
  <c r="L53" i="1"/>
  <c r="N53" i="1" s="1"/>
  <c r="K69" i="1"/>
  <c r="M69" i="1"/>
  <c r="O69" i="1" s="1"/>
  <c r="P69" i="1" s="1"/>
  <c r="K34" i="1"/>
  <c r="M34" i="1"/>
  <c r="O34" i="1" s="1"/>
  <c r="P34" i="1" s="1"/>
  <c r="K40" i="1"/>
  <c r="M40" i="1"/>
  <c r="O40" i="1" s="1"/>
  <c r="P40" i="1" s="1"/>
  <c r="L40" i="1"/>
  <c r="N40" i="1" s="1"/>
  <c r="K46" i="1"/>
  <c r="M46" i="1"/>
  <c r="O46" i="1" s="1"/>
  <c r="P46" i="1" s="1"/>
  <c r="L46" i="1"/>
  <c r="N46" i="1" s="1"/>
  <c r="K58" i="1"/>
  <c r="L58" i="1"/>
  <c r="N58" i="1" s="1"/>
  <c r="K67" i="1"/>
  <c r="L67" i="1"/>
  <c r="N67" i="1" s="1"/>
  <c r="K70" i="1"/>
  <c r="L70" i="1"/>
  <c r="N70" i="1" s="1"/>
  <c r="M70" i="1"/>
  <c r="O70" i="1" s="1"/>
  <c r="P70" i="1" s="1"/>
  <c r="K77" i="1"/>
  <c r="L77" i="1"/>
  <c r="N77" i="1" s="1"/>
  <c r="AN77" i="1"/>
  <c r="V26" i="1"/>
  <c r="T26" i="1"/>
  <c r="U33" i="1"/>
  <c r="X33" i="1"/>
  <c r="V49" i="1"/>
  <c r="T49" i="1"/>
  <c r="V45" i="1"/>
  <c r="T45" i="1"/>
  <c r="V37" i="1"/>
  <c r="T37" i="1"/>
  <c r="V39" i="1"/>
  <c r="T39" i="1"/>
  <c r="T71" i="1"/>
  <c r="V71" i="1"/>
  <c r="V47" i="1"/>
  <c r="T47" i="1"/>
  <c r="X32" i="1"/>
  <c r="U32" i="1"/>
  <c r="T61" i="1"/>
  <c r="V61" i="1"/>
  <c r="X74" i="1"/>
  <c r="U74" i="1"/>
  <c r="U77" i="1"/>
  <c r="X77" i="1"/>
  <c r="X58" i="1"/>
  <c r="U58" i="1"/>
  <c r="T70" i="1"/>
  <c r="V70" i="1"/>
  <c r="V57" i="1"/>
  <c r="T57" i="1"/>
  <c r="U73" i="1"/>
  <c r="X73" i="1"/>
  <c r="T69" i="1"/>
  <c r="V69" i="1"/>
  <c r="U81" i="1"/>
  <c r="X81" i="1"/>
  <c r="T80" i="1"/>
  <c r="V80" i="1"/>
  <c r="M73" i="1"/>
  <c r="O73" i="1" s="1"/>
  <c r="P73" i="1" s="1"/>
  <c r="M54" i="1"/>
  <c r="O54" i="1" s="1"/>
  <c r="P54" i="1" s="1"/>
  <c r="M38" i="1"/>
  <c r="O38" i="1" s="1"/>
  <c r="P38" i="1" s="1"/>
  <c r="AN76" i="1"/>
  <c r="AN70" i="1"/>
  <c r="AN75" i="1"/>
  <c r="AN79" i="1"/>
  <c r="AM35" i="1"/>
  <c r="AY33" i="1"/>
  <c r="AZ33" i="1"/>
  <c r="AX31" i="1"/>
  <c r="AX50" i="1"/>
  <c r="AX49" i="1"/>
  <c r="AY43" i="1"/>
  <c r="AZ43" i="1"/>
  <c r="AY35" i="1"/>
  <c r="AZ35" i="1"/>
  <c r="AX40" i="1"/>
  <c r="AX59" i="1"/>
  <c r="AX45" i="1"/>
  <c r="AY45" i="1"/>
  <c r="AZ45" i="1"/>
  <c r="AX69" i="1"/>
  <c r="AZ56" i="1"/>
  <c r="AY56" i="1"/>
  <c r="AX53" i="1"/>
  <c r="AX66" i="1"/>
  <c r="AX75" i="1"/>
  <c r="AZ63" i="1"/>
  <c r="AY63" i="1"/>
  <c r="AZ69" i="1"/>
  <c r="AY69" i="1"/>
  <c r="AX76" i="1"/>
  <c r="AX84" i="1"/>
  <c r="AZ80" i="1"/>
  <c r="AY80" i="1"/>
  <c r="AN53" i="1"/>
  <c r="AM30" i="1"/>
  <c r="AN41" i="1"/>
  <c r="AN58" i="1"/>
  <c r="AM39" i="1"/>
  <c r="AN33" i="1"/>
  <c r="AN78" i="1"/>
  <c r="AM81" i="1"/>
  <c r="AN62" i="1"/>
  <c r="AM27" i="1"/>
  <c r="AG66" i="1"/>
  <c r="AI66" i="1" s="1"/>
  <c r="AG44" i="1"/>
  <c r="AI44" i="1" s="1"/>
  <c r="AG61" i="1"/>
  <c r="AI61" i="1" s="1"/>
  <c r="BF46" i="1"/>
  <c r="BE46" i="1"/>
  <c r="BE70" i="1"/>
  <c r="BF70" i="1"/>
  <c r="BL47" i="1"/>
  <c r="BK47" i="1"/>
  <c r="BK28" i="1"/>
  <c r="BL28" i="1"/>
  <c r="BK59" i="1"/>
  <c r="BL59" i="1"/>
  <c r="K61" i="1"/>
  <c r="L61" i="1"/>
  <c r="N61" i="1" s="1"/>
  <c r="K48" i="1"/>
  <c r="L48" i="1"/>
  <c r="N48" i="1" s="1"/>
  <c r="K85" i="1"/>
  <c r="M85" i="1"/>
  <c r="O85" i="1" s="1"/>
  <c r="P85" i="1" s="1"/>
  <c r="L85" i="1"/>
  <c r="N85" i="1" s="1"/>
  <c r="U26" i="1"/>
  <c r="X26" i="1"/>
  <c r="X35" i="1"/>
  <c r="U35" i="1"/>
  <c r="U54" i="1"/>
  <c r="X54" i="1"/>
  <c r="X72" i="1"/>
  <c r="U72" i="1"/>
  <c r="T75" i="1"/>
  <c r="V75" i="1"/>
  <c r="M61" i="1"/>
  <c r="O61" i="1" s="1"/>
  <c r="P61" i="1" s="1"/>
  <c r="AY41" i="1"/>
  <c r="AZ41" i="1"/>
  <c r="AZ76" i="1"/>
  <c r="AY76" i="1"/>
  <c r="AM83" i="1"/>
  <c r="AN73" i="1"/>
  <c r="AM37" i="1"/>
  <c r="AN81" i="1"/>
  <c r="BF41" i="1"/>
  <c r="BE41" i="1"/>
  <c r="BF32" i="1"/>
  <c r="BE32" i="1"/>
  <c r="BF42" i="1"/>
  <c r="BE42" i="1"/>
  <c r="BF44" i="1"/>
  <c r="BE44" i="1"/>
  <c r="BF40" i="1"/>
  <c r="BE40" i="1"/>
  <c r="BF43" i="1"/>
  <c r="BE43" i="1"/>
  <c r="BD61" i="1"/>
  <c r="BD54" i="1"/>
  <c r="BF54" i="1"/>
  <c r="BE54" i="1"/>
  <c r="BF63" i="1"/>
  <c r="BE63" i="1"/>
  <c r="BE67" i="1"/>
  <c r="BF67" i="1"/>
  <c r="BD82" i="1"/>
  <c r="BE81" i="1"/>
  <c r="BF81" i="1"/>
  <c r="BL34" i="1"/>
  <c r="BK34" i="1"/>
  <c r="BK60" i="1"/>
  <c r="BL60" i="1"/>
  <c r="BJ57" i="1"/>
  <c r="BJ36" i="1"/>
  <c r="BL44" i="1"/>
  <c r="BK44" i="1"/>
  <c r="BJ66" i="1"/>
  <c r="BK66" i="1"/>
  <c r="BL66" i="1"/>
  <c r="BJ37" i="1"/>
  <c r="BK74" i="1"/>
  <c r="BL74" i="1"/>
  <c r="BK56" i="1"/>
  <c r="BL56" i="1"/>
  <c r="BL78" i="1"/>
  <c r="BK78" i="1"/>
  <c r="BJ84" i="1"/>
  <c r="BL77" i="1"/>
  <c r="BK77" i="1"/>
  <c r="BL80" i="1"/>
  <c r="BK80" i="1"/>
  <c r="M57" i="1"/>
  <c r="O57" i="1" s="1"/>
  <c r="P57" i="1" s="1"/>
  <c r="AM80" i="1"/>
  <c r="AM75" i="1"/>
  <c r="K51" i="1"/>
  <c r="M51" i="1"/>
  <c r="O51" i="1" s="1"/>
  <c r="P51" i="1" s="1"/>
  <c r="L51" i="1"/>
  <c r="N51" i="1" s="1"/>
  <c r="K27" i="1"/>
  <c r="L27" i="1"/>
  <c r="N27" i="1" s="1"/>
  <c r="K59" i="1"/>
  <c r="L59" i="1"/>
  <c r="N59" i="1" s="1"/>
  <c r="M59" i="1"/>
  <c r="O59" i="1" s="1"/>
  <c r="P59" i="1" s="1"/>
  <c r="K30" i="1"/>
  <c r="L30" i="1"/>
  <c r="N30" i="1" s="1"/>
  <c r="K35" i="1"/>
  <c r="M35" i="1"/>
  <c r="O35" i="1" s="1"/>
  <c r="P35" i="1" s="1"/>
  <c r="L35" i="1"/>
  <c r="N35" i="1" s="1"/>
  <c r="K41" i="1"/>
  <c r="L41" i="1"/>
  <c r="N41" i="1" s="1"/>
  <c r="K47" i="1"/>
  <c r="M47" i="1"/>
  <c r="O47" i="1" s="1"/>
  <c r="P47" i="1" s="1"/>
  <c r="K60" i="1"/>
  <c r="M60" i="1"/>
  <c r="O60" i="1" s="1"/>
  <c r="P60" i="1" s="1"/>
  <c r="L60" i="1"/>
  <c r="N60" i="1" s="1"/>
  <c r="K72" i="1"/>
  <c r="M72" i="1"/>
  <c r="O72" i="1" s="1"/>
  <c r="P72" i="1" s="1"/>
  <c r="K83" i="1"/>
  <c r="L83" i="1"/>
  <c r="N83" i="1" s="1"/>
  <c r="K80" i="1"/>
  <c r="L80" i="1"/>
  <c r="N80" i="1" s="1"/>
  <c r="M80" i="1"/>
  <c r="O80" i="1" s="1"/>
  <c r="P80" i="1" s="1"/>
  <c r="AN42" i="1"/>
  <c r="AM77" i="1"/>
  <c r="X27" i="1"/>
  <c r="U27" i="1"/>
  <c r="U36" i="1"/>
  <c r="X36" i="1"/>
  <c r="T64" i="1"/>
  <c r="V64" i="1"/>
  <c r="V48" i="1"/>
  <c r="T48" i="1"/>
  <c r="V40" i="1"/>
  <c r="T40" i="1"/>
  <c r="V42" i="1"/>
  <c r="T42" i="1"/>
  <c r="T74" i="1"/>
  <c r="V74" i="1"/>
  <c r="V50" i="1"/>
  <c r="T50" i="1"/>
  <c r="V35" i="1"/>
  <c r="T35" i="1"/>
  <c r="U52" i="1"/>
  <c r="X52" i="1"/>
  <c r="U76" i="1"/>
  <c r="X76" i="1"/>
  <c r="X53" i="1"/>
  <c r="U53" i="1"/>
  <c r="X59" i="1"/>
  <c r="U59" i="1"/>
  <c r="U78" i="1"/>
  <c r="X78" i="1"/>
  <c r="T58" i="1"/>
  <c r="V58" i="1"/>
  <c r="X69" i="1"/>
  <c r="U69" i="1"/>
  <c r="T72" i="1"/>
  <c r="V72" i="1"/>
  <c r="U82" i="1"/>
  <c r="X82" i="1"/>
  <c r="T81" i="1"/>
  <c r="V81" i="1"/>
  <c r="AE37" i="1"/>
  <c r="AE49" i="1"/>
  <c r="AE44" i="1"/>
  <c r="AE58" i="1"/>
  <c r="AE53" i="1"/>
  <c r="AE85" i="1"/>
  <c r="AE76" i="1"/>
  <c r="AE71" i="1"/>
  <c r="AE72" i="1"/>
  <c r="AE50" i="1"/>
  <c r="AE29" i="1"/>
  <c r="AE59" i="1"/>
  <c r="AE35" i="1"/>
  <c r="AE55" i="1"/>
  <c r="AE54" i="1"/>
  <c r="AE48" i="1"/>
  <c r="AE65" i="1"/>
  <c r="AE73" i="1"/>
  <c r="AE75" i="1"/>
  <c r="AE57" i="1"/>
  <c r="AE52" i="1"/>
  <c r="AE47" i="1"/>
  <c r="AE28" i="1"/>
  <c r="AE40" i="1"/>
  <c r="AE38" i="1"/>
  <c r="AE62" i="1"/>
  <c r="AE42" i="1"/>
  <c r="AE56" i="1"/>
  <c r="AE70" i="1"/>
  <c r="AE68" i="1"/>
  <c r="AE27" i="1"/>
  <c r="AE41" i="1"/>
  <c r="AE67" i="1"/>
  <c r="AE34" i="1"/>
  <c r="AE64" i="1"/>
  <c r="AE77" i="1"/>
  <c r="AE79" i="1"/>
  <c r="AE39" i="1"/>
  <c r="AE43" i="1"/>
  <c r="AE84" i="1"/>
  <c r="AE32" i="1"/>
  <c r="M67" i="1"/>
  <c r="O67" i="1" s="1"/>
  <c r="P67" i="1" s="1"/>
  <c r="M56" i="1"/>
  <c r="O56" i="1" s="1"/>
  <c r="P56" i="1" s="1"/>
  <c r="L44" i="1"/>
  <c r="N44" i="1" s="1"/>
  <c r="AN74" i="1"/>
  <c r="AM52" i="1"/>
  <c r="AM72" i="1"/>
  <c r="AE66" i="1"/>
  <c r="AE45" i="1"/>
  <c r="AN56" i="1"/>
  <c r="AM66" i="1"/>
  <c r="AN59" i="1"/>
  <c r="AY36" i="1"/>
  <c r="AZ36" i="1"/>
  <c r="AZ28" i="1"/>
  <c r="AY28" i="1"/>
  <c r="AX29" i="1"/>
  <c r="AY46" i="1"/>
  <c r="AZ46" i="1"/>
  <c r="AY38" i="1"/>
  <c r="AZ38" i="1"/>
  <c r="AY44" i="1"/>
  <c r="AZ44" i="1"/>
  <c r="AX63" i="1"/>
  <c r="AX48" i="1"/>
  <c r="AY48" i="1"/>
  <c r="AZ48" i="1"/>
  <c r="AX71" i="1"/>
  <c r="AX60" i="1"/>
  <c r="AX54" i="1"/>
  <c r="AZ75" i="1"/>
  <c r="AY75" i="1"/>
  <c r="AX77" i="1"/>
  <c r="AZ64" i="1"/>
  <c r="AY64" i="1"/>
  <c r="AZ70" i="1"/>
  <c r="AY70" i="1"/>
  <c r="AX79" i="1"/>
  <c r="AX85" i="1"/>
  <c r="AZ81" i="1"/>
  <c r="AY81" i="1"/>
  <c r="AN82" i="1"/>
  <c r="AM58" i="1"/>
  <c r="AN37" i="1"/>
  <c r="AM43" i="1"/>
  <c r="AH75" i="1"/>
  <c r="AJ75" i="1" s="1"/>
  <c r="AK75" i="1" s="1"/>
  <c r="AH54" i="1"/>
  <c r="AJ54" i="1" s="1"/>
  <c r="AK54" i="1" s="1"/>
  <c r="AG50" i="1"/>
  <c r="AI50" i="1" s="1"/>
  <c r="AM78" i="1"/>
  <c r="AG36" i="1"/>
  <c r="AI36" i="1" s="1"/>
  <c r="AM71" i="1"/>
  <c r="AM29" i="1"/>
  <c r="AN38" i="1"/>
  <c r="AN67" i="1"/>
  <c r="AM67" i="1"/>
  <c r="AN52" i="1"/>
  <c r="AN31" i="1"/>
  <c r="M83" i="1"/>
  <c r="O83" i="1" s="1"/>
  <c r="P83" i="1" s="1"/>
  <c r="AG81" i="1"/>
  <c r="AI81" i="1" s="1"/>
  <c r="AH84" i="1"/>
  <c r="AJ84" i="1" s="1"/>
  <c r="AK84" i="1" s="1"/>
  <c r="AH61" i="1"/>
  <c r="AJ61" i="1" s="1"/>
  <c r="AK61" i="1" s="1"/>
  <c r="Z35" i="1" l="1"/>
  <c r="Y35" i="1"/>
  <c r="AQ45" i="1"/>
  <c r="AS45" i="1" s="1"/>
  <c r="AT45" i="1" s="1"/>
  <c r="AP45" i="1"/>
  <c r="AR45" i="1" s="1"/>
  <c r="Z50" i="1"/>
  <c r="Y50" i="1"/>
  <c r="BD6" i="1"/>
  <c r="BJ6" i="1"/>
  <c r="AP57" i="1"/>
  <c r="AR57" i="1" s="1"/>
  <c r="AQ57" i="1"/>
  <c r="AS57" i="1" s="1"/>
  <c r="AT57" i="1" s="1"/>
  <c r="AP52" i="1"/>
  <c r="AR52" i="1" s="1"/>
  <c r="AQ52" i="1"/>
  <c r="AS52" i="1" s="1"/>
  <c r="AT52" i="1" s="1"/>
  <c r="Z82" i="1"/>
  <c r="Y82" i="1"/>
  <c r="Y27" i="1"/>
  <c r="Z27" i="1"/>
  <c r="AQ75" i="1"/>
  <c r="AS75" i="1" s="1"/>
  <c r="AT75" i="1" s="1"/>
  <c r="AP75" i="1"/>
  <c r="AR75" i="1" s="1"/>
  <c r="Z26" i="1"/>
  <c r="Y26" i="1"/>
  <c r="AQ81" i="1"/>
  <c r="AS81" i="1" s="1"/>
  <c r="AT81" i="1" s="1"/>
  <c r="AP81" i="1"/>
  <c r="AR81" i="1" s="1"/>
  <c r="AP30" i="1"/>
  <c r="AR30" i="1" s="1"/>
  <c r="AQ30" i="1"/>
  <c r="AS30" i="1" s="1"/>
  <c r="AT30" i="1" s="1"/>
  <c r="AQ35" i="1"/>
  <c r="AS35" i="1" s="1"/>
  <c r="AT35" i="1" s="1"/>
  <c r="AP35" i="1"/>
  <c r="AR35" i="1" s="1"/>
  <c r="Z33" i="1"/>
  <c r="Y33" i="1"/>
  <c r="AP44" i="1"/>
  <c r="AR44" i="1" s="1"/>
  <c r="AQ44" i="1"/>
  <c r="AS44" i="1" s="1"/>
  <c r="AT44" i="1" s="1"/>
  <c r="AP50" i="1"/>
  <c r="AR50" i="1" s="1"/>
  <c r="AQ50" i="1"/>
  <c r="AS50" i="1" s="1"/>
  <c r="AT50" i="1" s="1"/>
  <c r="Z64" i="1"/>
  <c r="Y64" i="1"/>
  <c r="AQ69" i="1"/>
  <c r="AS69" i="1" s="1"/>
  <c r="AT69" i="1" s="1"/>
  <c r="AP69" i="1"/>
  <c r="AR69" i="1" s="1"/>
  <c r="AP61" i="1"/>
  <c r="AR61" i="1" s="1"/>
  <c r="AQ61" i="1"/>
  <c r="AS61" i="1" s="1"/>
  <c r="AT61" i="1" s="1"/>
  <c r="Z65" i="1"/>
  <c r="Y65" i="1"/>
  <c r="Z56" i="1"/>
  <c r="Y56" i="1"/>
  <c r="Y37" i="1"/>
  <c r="Z37" i="1"/>
  <c r="AP33" i="1"/>
  <c r="AR33" i="1" s="1"/>
  <c r="AQ33" i="1"/>
  <c r="AS33" i="1" s="1"/>
  <c r="AT33" i="1" s="1"/>
  <c r="AQ26" i="1"/>
  <c r="AS26" i="1" s="1"/>
  <c r="AT26" i="1" s="1"/>
  <c r="AP26" i="1"/>
  <c r="AR26" i="1" s="1"/>
  <c r="Y29" i="1"/>
  <c r="Z29" i="1"/>
  <c r="AP49" i="1"/>
  <c r="AR49" i="1" s="1"/>
  <c r="AQ49" i="1"/>
  <c r="AS49" i="1" s="1"/>
  <c r="AT49" i="1" s="1"/>
  <c r="AQ78" i="1"/>
  <c r="AS78" i="1" s="1"/>
  <c r="AT78" i="1" s="1"/>
  <c r="AP78" i="1"/>
  <c r="AR78" i="1" s="1"/>
  <c r="AP72" i="1"/>
  <c r="AR72" i="1" s="1"/>
  <c r="AQ72" i="1"/>
  <c r="AS72" i="1" s="1"/>
  <c r="AT72" i="1" s="1"/>
  <c r="Z59" i="1"/>
  <c r="Y59" i="1"/>
  <c r="Y49" i="1"/>
  <c r="Z49" i="1"/>
  <c r="Z42" i="1"/>
  <c r="Y42" i="1"/>
  <c r="AQ66" i="1"/>
  <c r="AS66" i="1" s="1"/>
  <c r="AT66" i="1" s="1"/>
  <c r="AP66" i="1"/>
  <c r="AR66" i="1" s="1"/>
  <c r="Z53" i="1"/>
  <c r="Y53" i="1"/>
  <c r="AQ77" i="1"/>
  <c r="AS77" i="1" s="1"/>
  <c r="AT77" i="1" s="1"/>
  <c r="AP77" i="1"/>
  <c r="AR77" i="1" s="1"/>
  <c r="AP80" i="1"/>
  <c r="AR80" i="1" s="1"/>
  <c r="AQ80" i="1"/>
  <c r="AS80" i="1" s="1"/>
  <c r="AT80" i="1" s="1"/>
  <c r="Z72" i="1"/>
  <c r="Y72" i="1"/>
  <c r="Y74" i="1"/>
  <c r="Z74" i="1"/>
  <c r="AQ54" i="1"/>
  <c r="AS54" i="1" s="1"/>
  <c r="AT54" i="1" s="1"/>
  <c r="AP54" i="1"/>
  <c r="AR54" i="1" s="1"/>
  <c r="Z83" i="1"/>
  <c r="Y83" i="1"/>
  <c r="Z44" i="1"/>
  <c r="Y44" i="1"/>
  <c r="AQ56" i="1"/>
  <c r="AS56" i="1" s="1"/>
  <c r="AT56" i="1" s="1"/>
  <c r="AP56" i="1"/>
  <c r="AR56" i="1" s="1"/>
  <c r="AP42" i="1"/>
  <c r="AR42" i="1" s="1"/>
  <c r="AQ42" i="1"/>
  <c r="AS42" i="1" s="1"/>
  <c r="AT42" i="1" s="1"/>
  <c r="AP40" i="1"/>
  <c r="AR40" i="1" s="1"/>
  <c r="AQ40" i="1"/>
  <c r="AS40" i="1" s="1"/>
  <c r="AT40" i="1" s="1"/>
  <c r="Z57" i="1"/>
  <c r="Y57" i="1"/>
  <c r="Z48" i="1"/>
  <c r="Y48" i="1"/>
  <c r="AX6" i="1"/>
  <c r="Z79" i="1"/>
  <c r="Y79" i="1"/>
  <c r="AP32" i="1"/>
  <c r="AR32" i="1" s="1"/>
  <c r="AQ32" i="1"/>
  <c r="AS32" i="1" s="1"/>
  <c r="AT32" i="1" s="1"/>
  <c r="AQ74" i="1"/>
  <c r="AS74" i="1" s="1"/>
  <c r="AT74" i="1" s="1"/>
  <c r="AP74" i="1"/>
  <c r="AR74" i="1" s="1"/>
  <c r="Z51" i="1"/>
  <c r="Y51" i="1"/>
  <c r="AP36" i="1"/>
  <c r="AR36" i="1" s="1"/>
  <c r="AQ36" i="1"/>
  <c r="AS36" i="1" s="1"/>
  <c r="AT36" i="1" s="1"/>
  <c r="AQ60" i="1"/>
  <c r="AS60" i="1" s="1"/>
  <c r="AT60" i="1" s="1"/>
  <c r="AP60" i="1"/>
  <c r="AR60" i="1" s="1"/>
  <c r="Z75" i="1"/>
  <c r="Y75" i="1"/>
  <c r="AP62" i="1"/>
  <c r="AR62" i="1" s="1"/>
  <c r="AQ62" i="1"/>
  <c r="AS62" i="1" s="1"/>
  <c r="AT62" i="1" s="1"/>
  <c r="AP58" i="1"/>
  <c r="AR58" i="1" s="1"/>
  <c r="AQ58" i="1"/>
  <c r="AS58" i="1" s="1"/>
  <c r="AT58" i="1" s="1"/>
  <c r="Z69" i="1"/>
  <c r="Y69" i="1"/>
  <c r="AP70" i="1"/>
  <c r="AR70" i="1" s="1"/>
  <c r="AQ70" i="1"/>
  <c r="AS70" i="1" s="1"/>
  <c r="AT70" i="1" s="1"/>
  <c r="Z45" i="1"/>
  <c r="Y45" i="1"/>
  <c r="Z63" i="1"/>
  <c r="Y63" i="1"/>
  <c r="Z67" i="1"/>
  <c r="Y67" i="1"/>
  <c r="AP48" i="1"/>
  <c r="AR48" i="1" s="1"/>
  <c r="AQ48" i="1"/>
  <c r="AS48" i="1" s="1"/>
  <c r="AT48" i="1" s="1"/>
  <c r="AP29" i="1"/>
  <c r="AR29" i="1" s="1"/>
  <c r="AQ29" i="1"/>
  <c r="AS29" i="1" s="1"/>
  <c r="AT29" i="1" s="1"/>
  <c r="Z78" i="1"/>
  <c r="Y78" i="1"/>
  <c r="Z76" i="1"/>
  <c r="Y76" i="1"/>
  <c r="Z36" i="1"/>
  <c r="Y36" i="1"/>
  <c r="AP37" i="1"/>
  <c r="AR37" i="1" s="1"/>
  <c r="AQ37" i="1"/>
  <c r="AS37" i="1" s="1"/>
  <c r="AT37" i="1" s="1"/>
  <c r="Z54" i="1"/>
  <c r="Y54" i="1"/>
  <c r="Z73" i="1"/>
  <c r="Y73" i="1"/>
  <c r="AQ85" i="1"/>
  <c r="AS85" i="1" s="1"/>
  <c r="AT85" i="1" s="1"/>
  <c r="AP85" i="1"/>
  <c r="AR85" i="1" s="1"/>
  <c r="AQ55" i="1"/>
  <c r="AS55" i="1" s="1"/>
  <c r="AT55" i="1" s="1"/>
  <c r="AP55" i="1"/>
  <c r="AR55" i="1" s="1"/>
  <c r="AQ53" i="1"/>
  <c r="AS53" i="1" s="1"/>
  <c r="AT53" i="1" s="1"/>
  <c r="AP53" i="1"/>
  <c r="AR53" i="1" s="1"/>
  <c r="Y71" i="1"/>
  <c r="Z71" i="1"/>
  <c r="Z66" i="1"/>
  <c r="Y66" i="1"/>
  <c r="Y40" i="1"/>
  <c r="Z40" i="1"/>
  <c r="AQ64" i="1"/>
  <c r="AS64" i="1" s="1"/>
  <c r="AT64" i="1" s="1"/>
  <c r="AP64" i="1"/>
  <c r="AR64" i="1" s="1"/>
  <c r="AP38" i="1"/>
  <c r="AR38" i="1" s="1"/>
  <c r="AQ38" i="1"/>
  <c r="AS38" i="1" s="1"/>
  <c r="AT38" i="1" s="1"/>
  <c r="Y68" i="1"/>
  <c r="Z68" i="1"/>
  <c r="Y30" i="1"/>
  <c r="Z30" i="1"/>
  <c r="AP41" i="1"/>
  <c r="AR41" i="1" s="1"/>
  <c r="AQ41" i="1"/>
  <c r="AS41" i="1" s="1"/>
  <c r="AT41" i="1" s="1"/>
  <c r="Z38" i="1"/>
  <c r="Y38" i="1"/>
  <c r="AP79" i="1"/>
  <c r="AR79" i="1" s="1"/>
  <c r="AQ79" i="1"/>
  <c r="AS79" i="1" s="1"/>
  <c r="AT79" i="1" s="1"/>
  <c r="AP67" i="1"/>
  <c r="AR67" i="1" s="1"/>
  <c r="AQ67" i="1"/>
  <c r="AS67" i="1" s="1"/>
  <c r="AT67" i="1" s="1"/>
  <c r="Y32" i="1"/>
  <c r="Z32" i="1"/>
  <c r="Z60" i="1"/>
  <c r="Y60" i="1"/>
  <c r="AP82" i="1"/>
  <c r="AR82" i="1" s="1"/>
  <c r="AQ82" i="1"/>
  <c r="AS82" i="1" s="1"/>
  <c r="AT82" i="1" s="1"/>
  <c r="Z61" i="1"/>
  <c r="Y61" i="1"/>
  <c r="AQ71" i="1"/>
  <c r="AS71" i="1" s="1"/>
  <c r="AT71" i="1" s="1"/>
  <c r="AP71" i="1"/>
  <c r="AR71" i="1" s="1"/>
  <c r="AQ43" i="1"/>
  <c r="AS43" i="1" s="1"/>
  <c r="AT43" i="1" s="1"/>
  <c r="AP43" i="1"/>
  <c r="AR43" i="1" s="1"/>
  <c r="AQ39" i="1"/>
  <c r="AS39" i="1" s="1"/>
  <c r="AT39" i="1" s="1"/>
  <c r="AP39" i="1"/>
  <c r="AR39" i="1" s="1"/>
  <c r="Z58" i="1"/>
  <c r="Y58" i="1"/>
  <c r="Z39" i="1"/>
  <c r="Y39" i="1"/>
  <c r="AQ51" i="1"/>
  <c r="AS51" i="1" s="1"/>
  <c r="AT51" i="1" s="1"/>
  <c r="AP51" i="1"/>
  <c r="AR51" i="1" s="1"/>
  <c r="AQ84" i="1"/>
  <c r="AS84" i="1" s="1"/>
  <c r="AT84" i="1" s="1"/>
  <c r="AP84" i="1"/>
  <c r="AR84" i="1" s="1"/>
  <c r="Z80" i="1"/>
  <c r="Y80" i="1"/>
  <c r="Z70" i="1"/>
  <c r="Y70" i="1"/>
  <c r="Y43" i="1"/>
  <c r="Z43" i="1"/>
  <c r="AQ68" i="1"/>
  <c r="AS68" i="1" s="1"/>
  <c r="AT68" i="1" s="1"/>
  <c r="AP68" i="1"/>
  <c r="AR68" i="1" s="1"/>
  <c r="Y46" i="1"/>
  <c r="Z46" i="1"/>
  <c r="AQ34" i="1"/>
  <c r="AS34" i="1" s="1"/>
  <c r="AT34" i="1" s="1"/>
  <c r="AP34" i="1"/>
  <c r="AR34" i="1" s="1"/>
  <c r="AP73" i="1"/>
  <c r="AR73" i="1" s="1"/>
  <c r="AQ73" i="1"/>
  <c r="AS73" i="1" s="1"/>
  <c r="AT73" i="1" s="1"/>
  <c r="Z84" i="1"/>
  <c r="Y84" i="1"/>
  <c r="Z55" i="1"/>
  <c r="Y55" i="1"/>
  <c r="Z47" i="1"/>
  <c r="Y47" i="1"/>
  <c r="AP47" i="1"/>
  <c r="AR47" i="1" s="1"/>
  <c r="AQ47" i="1"/>
  <c r="AS47" i="1" s="1"/>
  <c r="AT47" i="1" s="1"/>
  <c r="Z85" i="1"/>
  <c r="Y85" i="1"/>
  <c r="Z52" i="1"/>
  <c r="Y52" i="1"/>
  <c r="U6" i="1"/>
  <c r="AP83" i="1"/>
  <c r="AR83" i="1" s="1"/>
  <c r="AQ83" i="1"/>
  <c r="AS83" i="1" s="1"/>
  <c r="AT83" i="1" s="1"/>
  <c r="AQ27" i="1"/>
  <c r="AS27" i="1" s="1"/>
  <c r="AT27" i="1" s="1"/>
  <c r="AP27" i="1"/>
  <c r="AR27" i="1" s="1"/>
  <c r="Z81" i="1"/>
  <c r="Y81" i="1"/>
  <c r="Z77" i="1"/>
  <c r="Y77" i="1"/>
  <c r="AP65" i="1"/>
  <c r="AR65" i="1" s="1"/>
  <c r="AQ65" i="1"/>
  <c r="AS65" i="1" s="1"/>
  <c r="AT65" i="1" s="1"/>
  <c r="Y31" i="1"/>
  <c r="Z31" i="1"/>
  <c r="AP59" i="1"/>
  <c r="AR59" i="1" s="1"/>
  <c r="AQ59" i="1"/>
  <c r="AS59" i="1" s="1"/>
  <c r="AT59" i="1" s="1"/>
  <c r="AQ46" i="1"/>
  <c r="AS46" i="1" s="1"/>
  <c r="AT46" i="1" s="1"/>
  <c r="AP46" i="1"/>
  <c r="AR46" i="1" s="1"/>
  <c r="Z41" i="1"/>
  <c r="Y41" i="1"/>
  <c r="AQ31" i="1"/>
  <c r="AS31" i="1" s="1"/>
  <c r="AT31" i="1" s="1"/>
  <c r="AP31" i="1"/>
  <c r="AR31" i="1" s="1"/>
  <c r="Z62" i="1"/>
  <c r="Y62" i="1"/>
  <c r="Y34" i="1"/>
  <c r="Z34" i="1"/>
  <c r="Y28" i="1"/>
  <c r="Z28" i="1"/>
  <c r="AB85" i="1" l="1"/>
  <c r="AA85" i="1"/>
  <c r="AB55" i="1"/>
  <c r="AA55" i="1"/>
  <c r="AB58" i="1"/>
  <c r="AA58" i="1"/>
  <c r="AA60" i="1"/>
  <c r="AB60" i="1"/>
  <c r="AB78" i="1"/>
  <c r="AA78" i="1"/>
  <c r="AA67" i="1"/>
  <c r="AB67" i="1"/>
  <c r="AB49" i="1"/>
  <c r="AA49" i="1"/>
  <c r="AA56" i="1"/>
  <c r="AB56" i="1"/>
  <c r="AB77" i="1"/>
  <c r="AA77" i="1"/>
  <c r="AB43" i="1"/>
  <c r="AA43" i="1"/>
  <c r="AA30" i="1"/>
  <c r="AB30" i="1"/>
  <c r="AA71" i="1"/>
  <c r="AB71" i="1"/>
  <c r="AB57" i="1"/>
  <c r="AA57" i="1"/>
  <c r="AA59" i="1"/>
  <c r="AB59" i="1"/>
  <c r="AA65" i="1"/>
  <c r="AB65" i="1"/>
  <c r="AA64" i="1"/>
  <c r="AB64" i="1"/>
  <c r="AB33" i="1"/>
  <c r="AA33" i="1"/>
  <c r="AA28" i="1"/>
  <c r="AB28" i="1"/>
  <c r="AB84" i="1"/>
  <c r="AA84" i="1"/>
  <c r="AA70" i="1"/>
  <c r="AB70" i="1"/>
  <c r="AA61" i="1"/>
  <c r="AB61" i="1"/>
  <c r="AA38" i="1"/>
  <c r="AB38" i="1"/>
  <c r="AA73" i="1"/>
  <c r="AB73" i="1"/>
  <c r="AB36" i="1"/>
  <c r="AA36" i="1"/>
  <c r="AA63" i="1"/>
  <c r="AB63" i="1"/>
  <c r="AA69" i="1"/>
  <c r="AB69" i="1"/>
  <c r="AA75" i="1"/>
  <c r="AB75" i="1"/>
  <c r="AB51" i="1"/>
  <c r="AA51" i="1"/>
  <c r="AB79" i="1"/>
  <c r="AA79" i="1"/>
  <c r="AB27" i="1"/>
  <c r="AA27" i="1"/>
  <c r="AA41" i="1"/>
  <c r="AB41" i="1"/>
  <c r="AB81" i="1"/>
  <c r="AA81" i="1"/>
  <c r="AB46" i="1"/>
  <c r="AA46" i="1"/>
  <c r="AA32" i="1"/>
  <c r="AB32" i="1"/>
  <c r="AA68" i="1"/>
  <c r="AB68" i="1"/>
  <c r="AB40" i="1"/>
  <c r="AA40" i="1"/>
  <c r="AB44" i="1"/>
  <c r="AA44" i="1"/>
  <c r="AB42" i="1"/>
  <c r="AA42" i="1"/>
  <c r="AB26" i="1"/>
  <c r="AA26" i="1"/>
  <c r="AB82" i="1"/>
  <c r="AA82" i="1"/>
  <c r="AA35" i="1"/>
  <c r="AB35" i="1"/>
  <c r="AA62" i="1"/>
  <c r="AB62" i="1"/>
  <c r="AB48" i="1"/>
  <c r="AA48" i="1"/>
  <c r="AB83" i="1"/>
  <c r="AA83" i="1"/>
  <c r="AA72" i="1"/>
  <c r="AB72" i="1"/>
  <c r="AA53" i="1"/>
  <c r="AB53" i="1"/>
  <c r="AB50" i="1"/>
  <c r="AA50" i="1"/>
  <c r="AB34" i="1"/>
  <c r="AA34" i="1"/>
  <c r="AB31" i="1"/>
  <c r="AA31" i="1"/>
  <c r="AB52" i="1"/>
  <c r="AA52" i="1"/>
  <c r="AB47" i="1"/>
  <c r="AA47" i="1"/>
  <c r="AB80" i="1"/>
  <c r="AA80" i="1"/>
  <c r="AB39" i="1"/>
  <c r="AA39" i="1"/>
  <c r="AA66" i="1"/>
  <c r="AB66" i="1"/>
  <c r="AB54" i="1"/>
  <c r="AA54" i="1"/>
  <c r="AB76" i="1"/>
  <c r="AA76" i="1"/>
  <c r="AB45" i="1"/>
  <c r="AA45" i="1"/>
  <c r="AA74" i="1"/>
  <c r="AB74" i="1"/>
  <c r="AA29" i="1"/>
  <c r="AB29" i="1"/>
  <c r="AB37" i="1"/>
  <c r="AA37" i="1"/>
</calcChain>
</file>

<file path=xl/sharedStrings.xml><?xml version="1.0" encoding="utf-8"?>
<sst xmlns="http://schemas.openxmlformats.org/spreadsheetml/2006/main" count="239" uniqueCount="120">
  <si>
    <t>General parameters</t>
  </si>
  <si>
    <t>(Ca) fluid</t>
  </si>
  <si>
    <t>(Ca) solide</t>
  </si>
  <si>
    <t>44Ca/40Ca (fluid)</t>
  </si>
  <si>
    <t>44Ca/40Ca (solid)</t>
  </si>
  <si>
    <t>d44Ca (fluid)</t>
  </si>
  <si>
    <t>d44Ca (solid)</t>
  </si>
  <si>
    <t>(Li) fluid</t>
  </si>
  <si>
    <t>(Li) solide</t>
  </si>
  <si>
    <t xml:space="preserve">(Li/Ca) dis </t>
  </si>
  <si>
    <t xml:space="preserve">(Li/Ca) carb </t>
  </si>
  <si>
    <t>7Li/6Li fluid</t>
  </si>
  <si>
    <t>7Li/6Li carb</t>
  </si>
  <si>
    <t>d7Li (fluid)</t>
  </si>
  <si>
    <t>d7Li solid</t>
  </si>
  <si>
    <t>(O) fluid</t>
  </si>
  <si>
    <t>(O) solid</t>
  </si>
  <si>
    <t>r fluid</t>
  </si>
  <si>
    <t>r solid</t>
  </si>
  <si>
    <t xml:space="preserve">d18O fluid </t>
  </si>
  <si>
    <t xml:space="preserve">d18O carb </t>
  </si>
  <si>
    <t>(C) fluid</t>
  </si>
  <si>
    <t>(C) solid</t>
  </si>
  <si>
    <t>13C/12C fluid</t>
  </si>
  <si>
    <t>13C/12C carb</t>
  </si>
  <si>
    <t>d13C fluid</t>
  </si>
  <si>
    <t xml:space="preserve">d13C carb </t>
  </si>
  <si>
    <t>(Sr) fluid</t>
  </si>
  <si>
    <t>(Sr) solide</t>
  </si>
  <si>
    <t>(Sr/Ca) fluid</t>
  </si>
  <si>
    <t xml:space="preserve">(Sr/Ca) carb </t>
  </si>
  <si>
    <t>(Mg) fluid</t>
  </si>
  <si>
    <t>(Mg) solide</t>
  </si>
  <si>
    <t>(Mg/Ca) dis</t>
  </si>
  <si>
    <t xml:space="preserve">(Mg/Ca) carb </t>
  </si>
  <si>
    <t>(B) fluid</t>
  </si>
  <si>
    <t>(B) solide</t>
  </si>
  <si>
    <t>(B/Ca) dis</t>
  </si>
  <si>
    <t xml:space="preserve">(B/Ca) carb </t>
  </si>
  <si>
    <t>Advection rate (V)</t>
  </si>
  <si>
    <t>m/year</t>
  </si>
  <si>
    <t>m prim</t>
  </si>
  <si>
    <t>ppm</t>
  </si>
  <si>
    <t>μmol/mol</t>
  </si>
  <si>
    <t>Reaction rate (R)</t>
  </si>
  <si>
    <t>Year-1</t>
  </si>
  <si>
    <t>m diag</t>
  </si>
  <si>
    <t>PDB</t>
  </si>
  <si>
    <t>Porosity</t>
  </si>
  <si>
    <t>Initial</t>
  </si>
  <si>
    <t>Rock/fluid ratio</t>
  </si>
  <si>
    <t>Fluid-buffered composition</t>
  </si>
  <si>
    <t>Temperature</t>
  </si>
  <si>
    <t>°C</t>
  </si>
  <si>
    <t>Sediment-buffered composition</t>
  </si>
  <si>
    <t>Tortuosity</t>
  </si>
  <si>
    <t>Kd</t>
  </si>
  <si>
    <t>Time</t>
  </si>
  <si>
    <t>K</t>
  </si>
  <si>
    <t>WR</t>
  </si>
  <si>
    <t>Diffusion coefficient</t>
  </si>
  <si>
    <t>cm-2.s-1</t>
  </si>
  <si>
    <t>m2/year</t>
  </si>
  <si>
    <t>L (reactive length scale)</t>
  </si>
  <si>
    <t>V/R</t>
  </si>
  <si>
    <t>La (advective lenngth scale)</t>
  </si>
  <si>
    <t>Ld (diffusion length scale)</t>
  </si>
  <si>
    <t>Molar mass</t>
  </si>
  <si>
    <t>r std (reference isotope ratio)</t>
  </si>
  <si>
    <t>α prec (precipitation fractionation factor)</t>
  </si>
  <si>
    <t>Δ prec (‰)</t>
  </si>
  <si>
    <t>α diff (diffusion fractionation factor)</t>
  </si>
  <si>
    <t>Δ diff (‰)</t>
  </si>
  <si>
    <t xml:space="preserve">L' (reactive length scale of the specific isotope) </t>
  </si>
  <si>
    <t xml:space="preserve">La' (advective length scale of the specific isotope) </t>
  </si>
  <si>
    <t xml:space="preserve">Ld' (diffusion length scale of the specific isotope) </t>
  </si>
  <si>
    <t>m0</t>
  </si>
  <si>
    <t>m1</t>
  </si>
  <si>
    <t>z</t>
  </si>
  <si>
    <t>EQ dCa</t>
  </si>
  <si>
    <t>EQ Li</t>
  </si>
  <si>
    <t>dEQ Li</t>
  </si>
  <si>
    <t>EQ O</t>
  </si>
  <si>
    <t>18O/16O fluid</t>
  </si>
  <si>
    <t>18O/16O solid</t>
  </si>
  <si>
    <t>dEQ O</t>
  </si>
  <si>
    <t>EQ C</t>
  </si>
  <si>
    <t>dEQ C</t>
  </si>
  <si>
    <t>EQ Sr</t>
  </si>
  <si>
    <t>EQ Mg</t>
  </si>
  <si>
    <t>EQ B</t>
  </si>
  <si>
    <t>Parameters</t>
  </si>
  <si>
    <t>Unit</t>
  </si>
  <si>
    <t>Ref</t>
  </si>
  <si>
    <t>Fluid-buffered</t>
  </si>
  <si>
    <t>Sediment-buffered</t>
  </si>
  <si>
    <t>Ahm et al., (2018)</t>
  </si>
  <si>
    <t>-</t>
  </si>
  <si>
    <t>δ44Ca (fluid)</t>
  </si>
  <si>
    <t>‰</t>
  </si>
  <si>
    <t>δ44Ca (solid)</t>
  </si>
  <si>
    <t>Misra and Froelich (2012)</t>
  </si>
  <si>
    <t>This study</t>
  </si>
  <si>
    <t>δ7Li (fluid)</t>
  </si>
  <si>
    <t>δ7Li solid</t>
  </si>
  <si>
    <t xml:space="preserve">δ18O fluid </t>
  </si>
  <si>
    <t>Swart et al., (2000, 2009)</t>
  </si>
  <si>
    <t xml:space="preserve">δ18O carb </t>
  </si>
  <si>
    <t>Swart et al., (2009)</t>
  </si>
  <si>
    <t>δ13C fluid</t>
  </si>
  <si>
    <t xml:space="preserve">δ13C carb </t>
  </si>
  <si>
    <t>(Sr) solid</t>
  </si>
  <si>
    <t>Zhang et al., (2017)</t>
  </si>
  <si>
    <t>mmol/mol</t>
  </si>
  <si>
    <t>(Mg) solid</t>
  </si>
  <si>
    <t>mol/mol</t>
  </si>
  <si>
    <t>Foster et al., 2010</t>
  </si>
  <si>
    <t>Stewart et al., (2005)</t>
  </si>
  <si>
    <t>All the the diffusion coefficients "D" (in cm2.s-1) are calculated using equation and m0, m1 values</t>
  </si>
  <si>
    <t>from Boudreau (table 4.7, Boudreau 1997)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</si>
</sst>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00"/>
    <numFmt numFmtId="166" formatCode="0.00000"/>
    <numFmt numFmtId="167" formatCode="0.0000000"/>
    <numFmt numFmtId="168" formatCode="0E+00"/>
    <numFmt numFmtId="169" formatCode="0.0000"/>
    <numFmt numFmtId="170" formatCode="0.0E+00"/>
    <numFmt numFmtId="171" formatCode="0.000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Helvetica"/>
    </font>
    <font>
      <sz val="12"/>
      <color theme="1"/>
      <name val="Helvetica"/>
    </font>
    <font>
      <sz val="12"/>
      <color rgb="FF000000"/>
      <name val="Calibri"/>
      <family val="2"/>
      <scheme val="minor"/>
    </font>
    <font>
      <sz val="10"/>
      <color theme="1"/>
      <name val="Times"/>
    </font>
    <font>
      <sz val="12"/>
      <name val="Helvetica"/>
    </font>
    <font>
      <sz val="11"/>
      <color rgb="FF000000"/>
      <name val="Helvetica"/>
    </font>
    <font>
      <sz val="12"/>
      <color rgb="FF000000"/>
      <name val="Helvetic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/>
    <xf numFmtId="165" fontId="0" fillId="0" borderId="2" xfId="0" applyNumberFormat="1" applyBorder="1"/>
    <xf numFmtId="0" fontId="3" fillId="0" borderId="0" xfId="0" applyFont="1"/>
    <xf numFmtId="0" fontId="0" fillId="2" borderId="0" xfId="0" applyFill="1" applyAlignment="1">
      <alignment horizontal="center"/>
    </xf>
    <xf numFmtId="11" fontId="0" fillId="0" borderId="2" xfId="0" applyNumberFormat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2" fontId="0" fillId="0" borderId="2" xfId="0" applyNumberFormat="1" applyBorder="1"/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66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0" borderId="2" xfId="0" applyNumberFormat="1" applyBorder="1" applyAlignment="1">
      <alignment horizontal="center"/>
    </xf>
    <xf numFmtId="167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2" fontId="0" fillId="2" borderId="0" xfId="0" applyNumberFormat="1" applyFill="1"/>
    <xf numFmtId="169" fontId="0" fillId="0" borderId="2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70" fontId="0" fillId="0" borderId="2" xfId="0" applyNumberFormat="1" applyBorder="1" applyAlignment="1">
      <alignment horizontal="center"/>
    </xf>
    <xf numFmtId="1" fontId="0" fillId="0" borderId="2" xfId="0" applyNumberFormat="1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70" fontId="0" fillId="0" borderId="2" xfId="0" applyNumberFormat="1" applyBorder="1" applyAlignment="1">
      <alignment horizontal="center" vertical="center"/>
    </xf>
    <xf numFmtId="11" fontId="0" fillId="0" borderId="2" xfId="0" applyNumberFormat="1" applyBorder="1" applyAlignment="1">
      <alignment horizontal="center"/>
    </xf>
    <xf numFmtId="11" fontId="0" fillId="0" borderId="0" xfId="0" applyNumberFormat="1" applyAlignment="1">
      <alignment horizontal="center" vertical="center" wrapText="1"/>
    </xf>
    <xf numFmtId="0" fontId="4" fillId="0" borderId="0" xfId="0" applyFont="1"/>
    <xf numFmtId="11" fontId="0" fillId="0" borderId="2" xfId="0" applyNumberFormat="1" applyBorder="1"/>
    <xf numFmtId="1" fontId="0" fillId="0" borderId="0" xfId="0" applyNumberFormat="1"/>
    <xf numFmtId="0" fontId="0" fillId="0" borderId="0" xfId="0" applyAlignment="1">
      <alignment horizontal="left" vertical="center" wrapText="1"/>
    </xf>
    <xf numFmtId="171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165" fontId="0" fillId="2" borderId="0" xfId="0" applyNumberFormat="1" applyFill="1"/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4" fontId="0" fillId="0" borderId="2" xfId="0" applyNumberFormat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166" fontId="0" fillId="0" borderId="0" xfId="0" applyNumberFormat="1"/>
    <xf numFmtId="0" fontId="0" fillId="0" borderId="5" xfId="0" applyBorder="1"/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 vertical="center"/>
    </xf>
    <xf numFmtId="169" fontId="0" fillId="0" borderId="0" xfId="0" applyNumberFormat="1"/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Diagenesis'!$P$26:$P$85</c:f>
              <c:numCache>
                <c:formatCode>0.00</c:formatCode>
                <c:ptCount val="60"/>
                <c:pt idx="0">
                  <c:v>1.00000000000005</c:v>
                </c:pt>
                <c:pt idx="1">
                  <c:v>0.99997717330830116</c:v>
                </c:pt>
                <c:pt idx="2">
                  <c:v>0.99769927671826153</c:v>
                </c:pt>
                <c:pt idx="3">
                  <c:v>0.97498901425514817</c:v>
                </c:pt>
                <c:pt idx="4">
                  <c:v>0.89239470438056612</c:v>
                </c:pt>
                <c:pt idx="5">
                  <c:v>0.79662480925830892</c:v>
                </c:pt>
                <c:pt idx="6">
                  <c:v>0.71226204336028764</c:v>
                </c:pt>
                <c:pt idx="7">
                  <c:v>0.69105549217549711</c:v>
                </c:pt>
                <c:pt idx="8">
                  <c:v>0.56759502931315819</c:v>
                </c:pt>
                <c:pt idx="9">
                  <c:v>0.50717501900873385</c:v>
                </c:pt>
                <c:pt idx="10">
                  <c:v>0.32384791594686091</c:v>
                </c:pt>
                <c:pt idx="11">
                  <c:v>0.20717460909607727</c:v>
                </c:pt>
                <c:pt idx="12">
                  <c:v>0.16578376955956653</c:v>
                </c:pt>
                <c:pt idx="13">
                  <c:v>0.10622797512108281</c:v>
                </c:pt>
                <c:pt idx="14">
                  <c:v>1.1540745537864357E-2</c:v>
                </c:pt>
                <c:pt idx="15">
                  <c:v>1.2568265659104484E-3</c:v>
                </c:pt>
                <c:pt idx="16">
                  <c:v>1.3690857574784457E-4</c:v>
                </c:pt>
                <c:pt idx="17">
                  <c:v>1.491414452421806E-5</c:v>
                </c:pt>
                <c:pt idx="18">
                  <c:v>1.7698495073533008E-7</c:v>
                </c:pt>
                <c:pt idx="19">
                  <c:v>2.1000966622285555E-9</c:v>
                </c:pt>
                <c:pt idx="20">
                  <c:v>2.4816512481348498E-12</c:v>
                </c:pt>
                <c:pt idx="21">
                  <c:v>-2.434416304905343E-13</c:v>
                </c:pt>
                <c:pt idx="22">
                  <c:v>-4.1582898740505859E-14</c:v>
                </c:pt>
                <c:pt idx="23">
                  <c:v>-4.1582898740505859E-14</c:v>
                </c:pt>
                <c:pt idx="24">
                  <c:v>-4.1582898740505859E-14</c:v>
                </c:pt>
                <c:pt idx="25">
                  <c:v>-4.1582898740505859E-14</c:v>
                </c:pt>
                <c:pt idx="26">
                  <c:v>-4.1582898740505859E-14</c:v>
                </c:pt>
                <c:pt idx="27">
                  <c:v>-4.1582898740505859E-14</c:v>
                </c:pt>
                <c:pt idx="28">
                  <c:v>-4.1582898740505859E-14</c:v>
                </c:pt>
                <c:pt idx="29">
                  <c:v>-4.1582898740505859E-14</c:v>
                </c:pt>
                <c:pt idx="30">
                  <c:v>-4.1582898740505859E-14</c:v>
                </c:pt>
                <c:pt idx="31">
                  <c:v>-4.1582898740505859E-14</c:v>
                </c:pt>
                <c:pt idx="32">
                  <c:v>-4.1582898740505859E-14</c:v>
                </c:pt>
                <c:pt idx="33">
                  <c:v>-4.1582898740505859E-14</c:v>
                </c:pt>
                <c:pt idx="34">
                  <c:v>-4.1582898740505859E-14</c:v>
                </c:pt>
                <c:pt idx="35">
                  <c:v>-4.1582898740505859E-14</c:v>
                </c:pt>
                <c:pt idx="36">
                  <c:v>-4.1582898740505859E-14</c:v>
                </c:pt>
                <c:pt idx="37">
                  <c:v>-4.1582898740505859E-14</c:v>
                </c:pt>
                <c:pt idx="38">
                  <c:v>-4.1582898740505859E-14</c:v>
                </c:pt>
                <c:pt idx="39">
                  <c:v>-4.1582898740505859E-14</c:v>
                </c:pt>
                <c:pt idx="40">
                  <c:v>-4.1582898740505859E-14</c:v>
                </c:pt>
                <c:pt idx="41">
                  <c:v>-4.1582898740505859E-14</c:v>
                </c:pt>
                <c:pt idx="42">
                  <c:v>-4.1582898740505859E-14</c:v>
                </c:pt>
                <c:pt idx="43">
                  <c:v>-4.1582898740505859E-14</c:v>
                </c:pt>
                <c:pt idx="44">
                  <c:v>-4.1582898740505859E-14</c:v>
                </c:pt>
                <c:pt idx="45">
                  <c:v>-4.1582898740505859E-14</c:v>
                </c:pt>
                <c:pt idx="46">
                  <c:v>-4.1582898740505859E-14</c:v>
                </c:pt>
                <c:pt idx="47">
                  <c:v>-4.1582898740505859E-14</c:v>
                </c:pt>
                <c:pt idx="48">
                  <c:v>-4.1582898740505859E-14</c:v>
                </c:pt>
                <c:pt idx="49">
                  <c:v>-4.1582898740505859E-14</c:v>
                </c:pt>
                <c:pt idx="50">
                  <c:v>-4.1582898740505859E-14</c:v>
                </c:pt>
                <c:pt idx="51">
                  <c:v>-4.1582898740505859E-14</c:v>
                </c:pt>
                <c:pt idx="52">
                  <c:v>-4.1582898740505859E-14</c:v>
                </c:pt>
                <c:pt idx="53">
                  <c:v>-4.1582898740505859E-14</c:v>
                </c:pt>
                <c:pt idx="54">
                  <c:v>-4.1582898740505859E-14</c:v>
                </c:pt>
                <c:pt idx="55">
                  <c:v>-4.1582898740505859E-14</c:v>
                </c:pt>
                <c:pt idx="56">
                  <c:v>-4.1582898740505859E-14</c:v>
                </c:pt>
                <c:pt idx="57">
                  <c:v>-4.1582898740505859E-14</c:v>
                </c:pt>
                <c:pt idx="58">
                  <c:v>-4.1582898740505859E-14</c:v>
                </c:pt>
                <c:pt idx="59">
                  <c:v>-4.1582898740505859E-14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05-EB47-9C78-713F3F9B5D0D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Diagenesis'!$T$26:$T$85</c:f>
              <c:numCache>
                <c:formatCode>0.00</c:formatCode>
                <c:ptCount val="60"/>
                <c:pt idx="0">
                  <c:v>1</c:v>
                </c:pt>
                <c:pt idx="1">
                  <c:v>0.99999993878953786</c:v>
                </c:pt>
                <c:pt idx="2">
                  <c:v>0.99999382332678421</c:v>
                </c:pt>
                <c:pt idx="3">
                  <c:v>0.99993205869290824</c:v>
                </c:pt>
                <c:pt idx="4">
                  <c:v>0.99969430046719598</c:v>
                </c:pt>
                <c:pt idx="5">
                  <c:v>0.99938869438659594</c:v>
                </c:pt>
                <c:pt idx="6">
                  <c:v>0.99908669283872897</c:v>
                </c:pt>
                <c:pt idx="7">
                  <c:v>0.99900504233195653</c:v>
                </c:pt>
                <c:pt idx="8">
                  <c:v>0.99847243657238338</c:v>
                </c:pt>
                <c:pt idx="9">
                  <c:v>0.99816720401500536</c:v>
                </c:pt>
                <c:pt idx="10">
                  <c:v>0.9969472065947923</c:v>
                </c:pt>
                <c:pt idx="11">
                  <c:v>0.99572870030121519</c:v>
                </c:pt>
                <c:pt idx="12">
                  <c:v>0.99512000575729365</c:v>
                </c:pt>
                <c:pt idx="13">
                  <c:v>0.99390373273715915</c:v>
                </c:pt>
                <c:pt idx="14">
                  <c:v>0.98784462994885847</c:v>
                </c:pt>
                <c:pt idx="15">
                  <c:v>0.98182246507052806</c:v>
                </c:pt>
                <c:pt idx="16">
                  <c:v>0.97583701291879699</c:v>
                </c:pt>
                <c:pt idx="17">
                  <c:v>0.96988804968307174</c:v>
                </c:pt>
                <c:pt idx="18">
                  <c:v>0.95809870153099408</c:v>
                </c:pt>
                <c:pt idx="19">
                  <c:v>0.94645265726836636</c:v>
                </c:pt>
                <c:pt idx="20">
                  <c:v>0.92924848103177926</c:v>
                </c:pt>
                <c:pt idx="21">
                  <c:v>0.9123570343096653</c:v>
                </c:pt>
                <c:pt idx="22">
                  <c:v>0.89031176307619619</c:v>
                </c:pt>
                <c:pt idx="23">
                  <c:v>0.863502739499869</c:v>
                </c:pt>
                <c:pt idx="24">
                  <c:v>0.82060293670436957</c:v>
                </c:pt>
                <c:pt idx="25">
                  <c:v>0.74109137880579057</c:v>
                </c:pt>
                <c:pt idx="26">
                  <c:v>0.71633800408657788</c:v>
                </c:pt>
                <c:pt idx="27">
                  <c:v>0.68655570734399174</c:v>
                </c:pt>
                <c:pt idx="28">
                  <c:v>0.65007635217605997</c:v>
                </c:pt>
                <c:pt idx="29">
                  <c:v>0.60443436710060705</c:v>
                </c:pt>
                <c:pt idx="30">
                  <c:v>0.545868261587235</c:v>
                </c:pt>
                <c:pt idx="31">
                  <c:v>0.46848521043524199</c:v>
                </c:pt>
                <c:pt idx="32">
                  <c:v>0.36311368833867297</c:v>
                </c:pt>
                <c:pt idx="33">
                  <c:v>0.25852642166922507</c:v>
                </c:pt>
                <c:pt idx="34">
                  <c:v>0.13995397713668109</c:v>
                </c:pt>
                <c:pt idx="35">
                  <c:v>7.8726878960086122E-2</c:v>
                </c:pt>
                <c:pt idx="36">
                  <c:v>5.4707509281077725E-2</c:v>
                </c:pt>
                <c:pt idx="37">
                  <c:v>3.3672768152430005E-2</c:v>
                </c:pt>
                <c:pt idx="38">
                  <c:v>1.7068818030938415E-2</c:v>
                </c:pt>
                <c:pt idx="39">
                  <c:v>6.1601372850359623E-3</c:v>
                </c:pt>
                <c:pt idx="40">
                  <c:v>1.126943030009282E-3</c:v>
                </c:pt>
                <c:pt idx="41">
                  <c:v>3.7715954540490941E-5</c:v>
                </c:pt>
                <c:pt idx="42">
                  <c:v>2.6001791081681174E-8</c:v>
                </c:pt>
                <c:pt idx="43">
                  <c:v>5.2958696105544096E-14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905-EB47-9C78-713F3F9B5D0D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Diagenesis'!$AB$26:$AB$85</c:f>
              <c:numCache>
                <c:formatCode>0.00</c:formatCode>
                <c:ptCount val="60"/>
                <c:pt idx="0">
                  <c:v>1</c:v>
                </c:pt>
                <c:pt idx="1">
                  <c:v>0.99999986052801726</c:v>
                </c:pt>
                <c:pt idx="2">
                  <c:v>0.99998592615301551</c:v>
                </c:pt>
                <c:pt idx="3">
                  <c:v>0.99984520361567453</c:v>
                </c:pt>
                <c:pt idx="4">
                  <c:v>0.99930369216814319</c:v>
                </c:pt>
                <c:pt idx="5">
                  <c:v>0.99860809317531185</c:v>
                </c:pt>
                <c:pt idx="6">
                  <c:v>0.99792118522821482</c:v>
                </c:pt>
                <c:pt idx="7">
                  <c:v>0.99773555269820324</c:v>
                </c:pt>
                <c:pt idx="8">
                  <c:v>0.9965255389308324</c:v>
                </c:pt>
                <c:pt idx="9">
                  <c:v>0.99583276500409035</c:v>
                </c:pt>
                <c:pt idx="10">
                  <c:v>0.99306869613637805</c:v>
                </c:pt>
                <c:pt idx="11">
                  <c:v>0.99031582141245833</c:v>
                </c:pt>
                <c:pt idx="12">
                  <c:v>0.98894356162890718</c:v>
                </c:pt>
                <c:pt idx="13">
                  <c:v>0.98620735703892859</c:v>
                </c:pt>
                <c:pt idx="14">
                  <c:v>0.97269057403511094</c:v>
                </c:pt>
                <c:pt idx="15">
                  <c:v>0.95944184079207728</c:v>
                </c:pt>
                <c:pt idx="16">
                  <c:v>0.9464536381336216</c:v>
                </c:pt>
                <c:pt idx="17">
                  <c:v>0.933718724473241</c:v>
                </c:pt>
                <c:pt idx="18">
                  <c:v>0.90898111027509043</c:v>
                </c:pt>
                <c:pt idx="19">
                  <c:v>0.88517615184421672</c:v>
                </c:pt>
                <c:pt idx="20">
                  <c:v>0.85111086187078311</c:v>
                </c:pt>
                <c:pt idx="21">
                  <c:v>0.81888233000691513</c:v>
                </c:pt>
                <c:pt idx="22">
                  <c:v>0.77853344948711711</c:v>
                </c:pt>
                <c:pt idx="23">
                  <c:v>0.73191277670153942</c:v>
                </c:pt>
                <c:pt idx="24">
                  <c:v>0.66242176384963758</c:v>
                </c:pt>
                <c:pt idx="25">
                  <c:v>0.54812325801258877</c:v>
                </c:pt>
                <c:pt idx="26">
                  <c:v>0.51590996084837615</c:v>
                </c:pt>
                <c:pt idx="27">
                  <c:v>0.47904194847633313</c:v>
                </c:pt>
                <c:pt idx="28">
                  <c:v>0.43649578106727005</c:v>
                </c:pt>
                <c:pt idx="29">
                  <c:v>0.38697455555065008</c:v>
                </c:pt>
                <c:pt idx="30">
                  <c:v>0.32887250930729761</c:v>
                </c:pt>
                <c:pt idx="31">
                  <c:v>0.26036669379011546</c:v>
                </c:pt>
                <c:pt idx="32">
                  <c:v>0.1800748913117203</c:v>
                </c:pt>
                <c:pt idx="33">
                  <c:v>0.11308553232788419</c:v>
                </c:pt>
                <c:pt idx="34">
                  <c:v>5.0799475439157901E-2</c:v>
                </c:pt>
                <c:pt idx="35">
                  <c:v>2.4421033574301473E-2</c:v>
                </c:pt>
                <c:pt idx="36">
                  <c:v>1.5365997112102341E-2</c:v>
                </c:pt>
                <c:pt idx="37">
                  <c:v>8.2299659608580742E-3</c:v>
                </c:pt>
                <c:pt idx="38">
                  <c:v>3.3470870432014206E-3</c:v>
                </c:pt>
                <c:pt idx="39">
                  <c:v>7.7738704260960512E-4</c:v>
                </c:pt>
                <c:pt idx="40">
                  <c:v>1.3205022418841138E-5</c:v>
                </c:pt>
                <c:pt idx="41">
                  <c:v>-8.1416617684763338E-6</c:v>
                </c:pt>
                <c:pt idx="42">
                  <c:v>-1.8225923560205217E-8</c:v>
                </c:pt>
                <c:pt idx="43">
                  <c:v>-7.3242955611211995E-14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905-EB47-9C78-713F3F9B5D0D}"/>
            </c:ext>
          </c:extLst>
        </c:ser>
        <c:ser>
          <c:idx val="4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Diagenesis'!$AK$26:$AK$85</c:f>
              <c:numCache>
                <c:formatCode>0.00</c:formatCode>
                <c:ptCount val="60"/>
                <c:pt idx="0">
                  <c:v>1.0000000000000271</c:v>
                </c:pt>
                <c:pt idx="1">
                  <c:v>0.99999997771192695</c:v>
                </c:pt>
                <c:pt idx="2">
                  <c:v>0.99999775092772047</c:v>
                </c:pt>
                <c:pt idx="3">
                  <c:v>0.99997526048294028</c:v>
                </c:pt>
                <c:pt idx="4">
                  <c:v>0.99988867699302031</c:v>
                </c:pt>
                <c:pt idx="5">
                  <c:v>0.9997773663789683</c:v>
                </c:pt>
                <c:pt idx="6">
                  <c:v>0.99966734737572061</c:v>
                </c:pt>
                <c:pt idx="7">
                  <c:v>0.99963759850805423</c:v>
                </c:pt>
                <c:pt idx="8">
                  <c:v>0.99944350887947409</c:v>
                </c:pt>
                <c:pt idx="9">
                  <c:v>0.99933224782278907</c:v>
                </c:pt>
                <c:pt idx="10">
                  <c:v>0.99888732744134279</c:v>
                </c:pt>
                <c:pt idx="11">
                  <c:v>0.9984426051463775</c:v>
                </c:pt>
                <c:pt idx="12">
                  <c:v>0.99822031825376578</c:v>
                </c:pt>
                <c:pt idx="13">
                  <c:v>0.99777589292308777</c:v>
                </c:pt>
                <c:pt idx="14">
                  <c:v>0.99555673249810883</c:v>
                </c:pt>
                <c:pt idx="15">
                  <c:v>0.99334250772387322</c:v>
                </c:pt>
                <c:pt idx="16">
                  <c:v>0.99113320762238</c:v>
                </c:pt>
                <c:pt idx="17">
                  <c:v>0.98892882124115067</c:v>
                </c:pt>
                <c:pt idx="18">
                  <c:v>0.9845347459481103</c:v>
                </c:pt>
                <c:pt idx="19">
                  <c:v>0.98016019470692761</c:v>
                </c:pt>
                <c:pt idx="20">
                  <c:v>0.97363478578117035</c:v>
                </c:pt>
                <c:pt idx="21">
                  <c:v>0.96715281971508749</c:v>
                </c:pt>
                <c:pt idx="22">
                  <c:v>0.95857727646522684</c:v>
                </c:pt>
                <c:pt idx="23">
                  <c:v>0.94796469608327605</c:v>
                </c:pt>
                <c:pt idx="24">
                  <c:v>0.93053751642792326</c:v>
                </c:pt>
                <c:pt idx="25">
                  <c:v>0.89663839996429573</c:v>
                </c:pt>
                <c:pt idx="26">
                  <c:v>0.88561537972532156</c:v>
                </c:pt>
                <c:pt idx="27">
                  <c:v>0.87202697517966343</c:v>
                </c:pt>
                <c:pt idx="28">
                  <c:v>0.85486207770569711</c:v>
                </c:pt>
                <c:pt idx="29">
                  <c:v>0.83249997348638161</c:v>
                </c:pt>
                <c:pt idx="30">
                  <c:v>0.8021723262298518</c:v>
                </c:pt>
                <c:pt idx="31">
                  <c:v>0.7587397653711706</c:v>
                </c:pt>
                <c:pt idx="32">
                  <c:v>0.69151477464267375</c:v>
                </c:pt>
                <c:pt idx="33">
                  <c:v>0.61105404070477232</c:v>
                </c:pt>
                <c:pt idx="34">
                  <c:v>0.48869029003683562</c:v>
                </c:pt>
                <c:pt idx="35">
                  <c:v>0.39632655203853201</c:v>
                </c:pt>
                <c:pt idx="36">
                  <c:v>0.34713152104869432</c:v>
                </c:pt>
                <c:pt idx="37">
                  <c:v>0.29090324177128252</c:v>
                </c:pt>
                <c:pt idx="38">
                  <c:v>0.22714588554081472</c:v>
                </c:pt>
                <c:pt idx="39">
                  <c:v>0.15672538481897261</c:v>
                </c:pt>
                <c:pt idx="40">
                  <c:v>8.4436481687622994E-2</c:v>
                </c:pt>
                <c:pt idx="41">
                  <c:v>2.450821584648348E-2</c:v>
                </c:pt>
                <c:pt idx="42">
                  <c:v>1.7303316107723187E-3</c:v>
                </c:pt>
                <c:pt idx="43">
                  <c:v>1.4655515526474102E-5</c:v>
                </c:pt>
                <c:pt idx="44">
                  <c:v>2.1428826492415678E-10</c:v>
                </c:pt>
                <c:pt idx="45">
                  <c:v>-3.812980336615903E-14</c:v>
                </c:pt>
                <c:pt idx="46">
                  <c:v>-3.812980336615903E-14</c:v>
                </c:pt>
                <c:pt idx="47">
                  <c:v>-3.812980336615903E-14</c:v>
                </c:pt>
                <c:pt idx="48">
                  <c:v>-3.812980336615903E-14</c:v>
                </c:pt>
                <c:pt idx="49">
                  <c:v>-3.812980336615903E-14</c:v>
                </c:pt>
                <c:pt idx="50">
                  <c:v>-3.812980336615903E-14</c:v>
                </c:pt>
                <c:pt idx="51">
                  <c:v>-3.812980336615903E-14</c:v>
                </c:pt>
                <c:pt idx="52">
                  <c:v>-3.812980336615903E-14</c:v>
                </c:pt>
                <c:pt idx="53">
                  <c:v>-3.812980336615903E-14</c:v>
                </c:pt>
                <c:pt idx="54">
                  <c:v>-3.812980336615903E-14</c:v>
                </c:pt>
                <c:pt idx="55">
                  <c:v>-3.812980336615903E-14</c:v>
                </c:pt>
                <c:pt idx="56">
                  <c:v>-3.812980336615903E-14</c:v>
                </c:pt>
                <c:pt idx="57">
                  <c:v>-3.812980336615903E-14</c:v>
                </c:pt>
                <c:pt idx="58">
                  <c:v>-3.812980336615903E-14</c:v>
                </c:pt>
                <c:pt idx="59">
                  <c:v>-3.812980336615903E-14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905-EB47-9C78-713F3F9B5D0D}"/>
            </c:ext>
          </c:extLst>
        </c:ser>
        <c:ser>
          <c:idx val="5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Diagenesis'!$AT$26:$AT$85</c:f>
              <c:numCache>
                <c:formatCode>0.00</c:formatCode>
                <c:ptCount val="60"/>
                <c:pt idx="0">
                  <c:v>0.99920029306823432</c:v>
                </c:pt>
                <c:pt idx="1">
                  <c:v>0.99915357013449946</c:v>
                </c:pt>
                <c:pt idx="2">
                  <c:v>0.99449652052140292</c:v>
                </c:pt>
                <c:pt idx="3">
                  <c:v>0.94865963148125854</c:v>
                </c:pt>
                <c:pt idx="4">
                  <c:v>0.79106643352199002</c:v>
                </c:pt>
                <c:pt idx="5">
                  <c:v>0.6262869482589547</c:v>
                </c:pt>
                <c:pt idx="6">
                  <c:v>0.49716407347975333</c:v>
                </c:pt>
                <c:pt idx="7">
                  <c:v>0.46707228855347721</c:v>
                </c:pt>
                <c:pt idx="8">
                  <c:v>0.31078108156489515</c:v>
                </c:pt>
                <c:pt idx="9">
                  <c:v>0.24604524588836443</c:v>
                </c:pt>
                <c:pt idx="10">
                  <c:v>9.6662182075788847E-2</c:v>
                </c:pt>
                <c:pt idx="11">
                  <c:v>3.797503751763056E-2</c:v>
                </c:pt>
                <c:pt idx="12">
                  <c:v>2.3802305225405402E-2</c:v>
                </c:pt>
                <c:pt idx="13">
                  <c:v>9.3510555476345077E-3</c:v>
                </c:pt>
                <c:pt idx="14">
                  <c:v>8.7512224022487598E-5</c:v>
                </c:pt>
                <c:pt idx="15">
                  <c:v>8.1898661316141287E-7</c:v>
                </c:pt>
                <c:pt idx="16">
                  <c:v>7.6645563185908118E-9</c:v>
                </c:pt>
                <c:pt idx="17">
                  <c:v>7.1704299727405675E-11</c:v>
                </c:pt>
                <c:pt idx="18">
                  <c:v>4.2624045015548035E-14</c:v>
                </c:pt>
                <c:pt idx="19">
                  <c:v>4.2624045015548035E-14</c:v>
                </c:pt>
                <c:pt idx="20">
                  <c:v>4.2624045015548035E-14</c:v>
                </c:pt>
                <c:pt idx="21">
                  <c:v>4.2624045015548035E-14</c:v>
                </c:pt>
                <c:pt idx="22">
                  <c:v>4.2624045015548035E-14</c:v>
                </c:pt>
                <c:pt idx="23">
                  <c:v>4.2624045015548035E-14</c:v>
                </c:pt>
                <c:pt idx="24">
                  <c:v>4.2624045015548035E-14</c:v>
                </c:pt>
                <c:pt idx="25">
                  <c:v>4.2624045015548035E-14</c:v>
                </c:pt>
                <c:pt idx="26">
                  <c:v>4.2624045015548035E-14</c:v>
                </c:pt>
                <c:pt idx="27">
                  <c:v>4.2624045015548035E-14</c:v>
                </c:pt>
                <c:pt idx="28">
                  <c:v>4.2624045015548035E-14</c:v>
                </c:pt>
                <c:pt idx="29">
                  <c:v>4.2624045015548035E-14</c:v>
                </c:pt>
                <c:pt idx="30">
                  <c:v>4.2624045015548035E-14</c:v>
                </c:pt>
                <c:pt idx="31">
                  <c:v>4.2624045015548035E-14</c:v>
                </c:pt>
                <c:pt idx="32">
                  <c:v>4.2624045015548035E-14</c:v>
                </c:pt>
                <c:pt idx="33">
                  <c:v>4.2624045015548035E-14</c:v>
                </c:pt>
                <c:pt idx="34">
                  <c:v>4.2624045015548035E-14</c:v>
                </c:pt>
                <c:pt idx="35">
                  <c:v>4.2624045015548035E-14</c:v>
                </c:pt>
                <c:pt idx="36">
                  <c:v>4.2624045015548035E-14</c:v>
                </c:pt>
                <c:pt idx="37">
                  <c:v>4.2624045015548035E-14</c:v>
                </c:pt>
                <c:pt idx="38">
                  <c:v>4.2624045015548035E-14</c:v>
                </c:pt>
                <c:pt idx="39">
                  <c:v>4.2624045015548035E-14</c:v>
                </c:pt>
                <c:pt idx="40">
                  <c:v>4.2624045015548035E-14</c:v>
                </c:pt>
                <c:pt idx="41">
                  <c:v>4.2624045015548035E-14</c:v>
                </c:pt>
                <c:pt idx="42">
                  <c:v>4.2624045015548035E-14</c:v>
                </c:pt>
                <c:pt idx="43">
                  <c:v>4.2624045015548035E-14</c:v>
                </c:pt>
                <c:pt idx="44">
                  <c:v>4.2624045015548035E-14</c:v>
                </c:pt>
                <c:pt idx="45">
                  <c:v>4.2624045015548035E-14</c:v>
                </c:pt>
                <c:pt idx="46">
                  <c:v>4.2624045015548035E-14</c:v>
                </c:pt>
                <c:pt idx="47">
                  <c:v>4.2624045015548035E-14</c:v>
                </c:pt>
                <c:pt idx="48">
                  <c:v>4.2624045015548035E-14</c:v>
                </c:pt>
                <c:pt idx="49">
                  <c:v>4.2624045015548035E-14</c:v>
                </c:pt>
                <c:pt idx="50">
                  <c:v>4.2624045015548035E-14</c:v>
                </c:pt>
                <c:pt idx="51">
                  <c:v>4.2624045015548035E-14</c:v>
                </c:pt>
                <c:pt idx="52">
                  <c:v>4.2624045015548035E-14</c:v>
                </c:pt>
                <c:pt idx="53">
                  <c:v>4.2624045015548035E-14</c:v>
                </c:pt>
                <c:pt idx="54">
                  <c:v>4.2624045015548035E-14</c:v>
                </c:pt>
                <c:pt idx="55">
                  <c:v>4.2624045015548035E-14</c:v>
                </c:pt>
                <c:pt idx="56">
                  <c:v>4.2624045015548035E-14</c:v>
                </c:pt>
                <c:pt idx="57">
                  <c:v>4.2624045015548035E-14</c:v>
                </c:pt>
                <c:pt idx="58">
                  <c:v>4.2624045015548035E-14</c:v>
                </c:pt>
                <c:pt idx="59">
                  <c:v>4.2624045015548035E-14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905-EB47-9C78-713F3F9B5D0D}"/>
            </c:ext>
          </c:extLst>
        </c:ser>
        <c:ser>
          <c:idx val="6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Diagenesis'!$AZ$26:$AZ$85</c:f>
              <c:numCache>
                <c:formatCode>0.00</c:formatCode>
                <c:ptCount val="60"/>
                <c:pt idx="0">
                  <c:v>1</c:v>
                </c:pt>
                <c:pt idx="1">
                  <c:v>0.99999827805726282</c:v>
                </c:pt>
                <c:pt idx="2">
                  <c:v>0.99982625526955704</c:v>
                </c:pt>
                <c:pt idx="3">
                  <c:v>0.9980904673977482</c:v>
                </c:pt>
                <c:pt idx="4">
                  <c:v>0.99143577235821512</c:v>
                </c:pt>
                <c:pt idx="5">
                  <c:v>0.98294489071153068</c:v>
                </c:pt>
                <c:pt idx="6">
                  <c:v>0.97462307664687231</c:v>
                </c:pt>
                <c:pt idx="7">
                  <c:v>0.97238484828036864</c:v>
                </c:pt>
                <c:pt idx="8">
                  <c:v>0.95790606707619497</c:v>
                </c:pt>
                <c:pt idx="9">
                  <c:v>0.94970234145830756</c:v>
                </c:pt>
                <c:pt idx="10">
                  <c:v>0.91758403334138383</c:v>
                </c:pt>
                <c:pt idx="11">
                  <c:v>0.88655194526547787</c:v>
                </c:pt>
                <c:pt idx="12">
                  <c:v>0.87143170494907007</c:v>
                </c:pt>
                <c:pt idx="13">
                  <c:v>0.84196045824304178</c:v>
                </c:pt>
                <c:pt idx="14">
                  <c:v>0.70889741324483291</c:v>
                </c:pt>
                <c:pt idx="15">
                  <c:v>0.59686359090292651</c:v>
                </c:pt>
                <c:pt idx="16">
                  <c:v>0.50253554250521548</c:v>
                </c:pt>
                <c:pt idx="17">
                  <c:v>0.4231150556511068</c:v>
                </c:pt>
                <c:pt idx="18">
                  <c:v>0.2999451684560131</c:v>
                </c:pt>
                <c:pt idx="19">
                  <c:v>0.21263035403375344</c:v>
                </c:pt>
                <c:pt idx="20">
                  <c:v>0.1269113166435466</c:v>
                </c:pt>
                <c:pt idx="21">
                  <c:v>7.5748744178085567E-2</c:v>
                </c:pt>
                <c:pt idx="22">
                  <c:v>3.8066436249623081E-2</c:v>
                </c:pt>
                <c:pt idx="23">
                  <c:v>1.6106482292198701E-2</c:v>
                </c:pt>
                <c:pt idx="24">
                  <c:v>3.8408867134087686E-3</c:v>
                </c:pt>
                <c:pt idx="25">
                  <c:v>2.184203480059912E-4</c:v>
                </c:pt>
                <c:pt idx="26">
                  <c:v>8.3993747883630046E-5</c:v>
                </c:pt>
                <c:pt idx="27">
                  <c:v>2.5435442201868919E-5</c:v>
                </c:pt>
                <c:pt idx="28">
                  <c:v>5.4752110216024824E-6</c:v>
                </c:pt>
                <c:pt idx="29">
                  <c:v>7.0634404542058682E-7</c:v>
                </c:pt>
                <c:pt idx="30">
                  <c:v>4.016778513352863E-8</c:v>
                </c:pt>
                <c:pt idx="31">
                  <c:v>5.4471621859368002E-10</c:v>
                </c:pt>
                <c:pt idx="32">
                  <c:v>4.2003409723530054E-13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905-EB47-9C78-713F3F9B5D0D}"/>
            </c:ext>
          </c:extLst>
        </c:ser>
        <c:ser>
          <c:idx val="7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Diagenesis'!$BF$26:$BF$85</c:f>
              <c:numCache>
                <c:formatCode>0.00</c:formatCode>
                <c:ptCount val="60"/>
                <c:pt idx="0">
                  <c:v>1</c:v>
                </c:pt>
                <c:pt idx="1">
                  <c:v>0.99999957151698238</c:v>
                </c:pt>
                <c:pt idx="2">
                  <c:v>0.99995676309369741</c:v>
                </c:pt>
                <c:pt idx="3">
                  <c:v>0.99952449683598943</c:v>
                </c:pt>
                <c:pt idx="4">
                  <c:v>0.99786201561969001</c:v>
                </c:pt>
                <c:pt idx="5">
                  <c:v>0.99572860221659032</c:v>
                </c:pt>
                <c:pt idx="6">
                  <c:v>0.99362419370775457</c:v>
                </c:pt>
                <c:pt idx="7">
                  <c:v>0.99305589139667894</c:v>
                </c:pt>
                <c:pt idx="8">
                  <c:v>0.98935569024820003</c:v>
                </c:pt>
                <c:pt idx="9">
                  <c:v>0.98724046323587844</c:v>
                </c:pt>
                <c:pt idx="10">
                  <c:v>0.97882468182649207</c:v>
                </c:pt>
                <c:pt idx="11">
                  <c:v>0.97048064117264443</c:v>
                </c:pt>
                <c:pt idx="12">
                  <c:v>0.96633533231309754</c:v>
                </c:pt>
                <c:pt idx="13">
                  <c:v>0.95809775775273376</c:v>
                </c:pt>
                <c:pt idx="14">
                  <c:v>0.91795131341081604</c:v>
                </c:pt>
                <c:pt idx="15">
                  <c:v>0.87948709510507983</c:v>
                </c:pt>
                <c:pt idx="16">
                  <c:v>0.84263461379264226</c:v>
                </c:pt>
                <c:pt idx="17">
                  <c:v>0.80732633407957133</c:v>
                </c:pt>
                <c:pt idx="18">
                  <c:v>0.74108626871948169</c:v>
                </c:pt>
                <c:pt idx="19">
                  <c:v>0.68028111372176903</c:v>
                </c:pt>
                <c:pt idx="20">
                  <c:v>0.59829846056200708</c:v>
                </c:pt>
                <c:pt idx="21">
                  <c:v>0.52619577508552084</c:v>
                </c:pt>
                <c:pt idx="22">
                  <c:v>0.44339077371850821</c:v>
                </c:pt>
                <c:pt idx="23">
                  <c:v>0.35796104791086802</c:v>
                </c:pt>
                <c:pt idx="24">
                  <c:v>0.2505634012103477</c:v>
                </c:pt>
                <c:pt idx="25">
                  <c:v>0.12276692142328167</c:v>
                </c:pt>
                <c:pt idx="26">
                  <c:v>9.6783786378545497E-2</c:v>
                </c:pt>
                <c:pt idx="27">
                  <c:v>7.18959062927194E-2</c:v>
                </c:pt>
                <c:pt idx="28">
                  <c:v>4.905919824302369E-2</c:v>
                </c:pt>
                <c:pt idx="29">
                  <c:v>2.9471946813848186E-2</c:v>
                </c:pt>
                <c:pt idx="30">
                  <c:v>1.4440178259112063E-2</c:v>
                </c:pt>
                <c:pt idx="31">
                  <c:v>4.9524277572123151E-3</c:v>
                </c:pt>
                <c:pt idx="32">
                  <c:v>8.3219954369904688E-4</c:v>
                </c:pt>
                <c:pt idx="33">
                  <c:v>7.7168472845509035E-5</c:v>
                </c:pt>
                <c:pt idx="34">
                  <c:v>1.0513786129003864E-6</c:v>
                </c:pt>
                <c:pt idx="35">
                  <c:v>1.8736282201303584E-8</c:v>
                </c:pt>
                <c:pt idx="36">
                  <c:v>1.4659707711500455E-9</c:v>
                </c:pt>
                <c:pt idx="37">
                  <c:v>4.9058526957489191E-11</c:v>
                </c:pt>
                <c:pt idx="38">
                  <c:v>4.2183445397172177E-13</c:v>
                </c:pt>
                <c:pt idx="39">
                  <c:v>3.3600729364176671E-16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905-EB47-9C78-713F3F9B5D0D}"/>
            </c:ext>
          </c:extLst>
        </c:ser>
        <c:ser>
          <c:idx val="0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'S3 Marine Diagenesis'!$H$26:$H$85</c:f>
              <c:numCache>
                <c:formatCode>0.000</c:formatCode>
                <c:ptCount val="60"/>
                <c:pt idx="0" formatCode="0.00">
                  <c:v>0</c:v>
                </c:pt>
                <c:pt idx="1">
                  <c:v>1.001001001001E-5</c:v>
                </c:pt>
                <c:pt idx="2" formatCode="0.00">
                  <c:v>1.0101010101010101E-3</c:v>
                </c:pt>
                <c:pt idx="3" formatCode="0.00">
                  <c:v>1.1111111111111099E-2</c:v>
                </c:pt>
                <c:pt idx="4" formatCode="0.00">
                  <c:v>0.05</c:v>
                </c:pt>
                <c:pt idx="5" formatCode="0.00">
                  <c:v>0.1</c:v>
                </c:pt>
                <c:pt idx="6" formatCode="0.00">
                  <c:v>0.14942528735632185</c:v>
                </c:pt>
                <c:pt idx="7" formatCode="0.00">
                  <c:v>0.16279069767441862</c:v>
                </c:pt>
                <c:pt idx="8" formatCode="0.00">
                  <c:v>0.25</c:v>
                </c:pt>
                <c:pt idx="9" formatCode="0.00">
                  <c:v>0.3</c:v>
                </c:pt>
                <c:pt idx="10" formatCode="0.00">
                  <c:v>0.5</c:v>
                </c:pt>
                <c:pt idx="11" formatCode="0.00">
                  <c:v>0.7</c:v>
                </c:pt>
                <c:pt idx="12" formatCode="0.00">
                  <c:v>0.8</c:v>
                </c:pt>
                <c:pt idx="13" formatCode="0.00">
                  <c:v>1</c:v>
                </c:pt>
                <c:pt idx="14" formatCode="0.00">
                  <c:v>2</c:v>
                </c:pt>
                <c:pt idx="15" formatCode="0.00">
                  <c:v>3</c:v>
                </c:pt>
                <c:pt idx="16" formatCode="0.00">
                  <c:v>4</c:v>
                </c:pt>
                <c:pt idx="17" formatCode="0.00">
                  <c:v>5</c:v>
                </c:pt>
                <c:pt idx="18" formatCode="0.00">
                  <c:v>7</c:v>
                </c:pt>
                <c:pt idx="19" formatCode="0.00">
                  <c:v>9</c:v>
                </c:pt>
                <c:pt idx="20" formatCode="0.00">
                  <c:v>12</c:v>
                </c:pt>
                <c:pt idx="21" formatCode="0.00">
                  <c:v>15</c:v>
                </c:pt>
                <c:pt idx="22" formatCode="0.00">
                  <c:v>18.999999999999982</c:v>
                </c:pt>
                <c:pt idx="23" formatCode="0.00">
                  <c:v>23.999999999999979</c:v>
                </c:pt>
                <c:pt idx="24" formatCode="0.00">
                  <c:v>32.3333333333333</c:v>
                </c:pt>
                <c:pt idx="25" formatCode="0.00">
                  <c:v>48.999999999999957</c:v>
                </c:pt>
                <c:pt idx="26" formatCode="0.00">
                  <c:v>54.555555555555507</c:v>
                </c:pt>
                <c:pt idx="27" formatCode="0.00">
                  <c:v>61.499999999999943</c:v>
                </c:pt>
                <c:pt idx="28" formatCode="0.00">
                  <c:v>70.42857142857136</c:v>
                </c:pt>
                <c:pt idx="29" formatCode="0.00">
                  <c:v>82.333333333333258</c:v>
                </c:pt>
                <c:pt idx="30" formatCode="0.00">
                  <c:v>98.999999999999915</c:v>
                </c:pt>
                <c:pt idx="31" formatCode="0.00">
                  <c:v>123.99999999999989</c:v>
                </c:pt>
                <c:pt idx="32" formatCode="0.00">
                  <c:v>165.66666666666652</c:v>
                </c:pt>
                <c:pt idx="33" formatCode="0.00">
                  <c:v>221.22222222222476</c:v>
                </c:pt>
                <c:pt idx="34" formatCode="0.00">
                  <c:v>321.58064516129122</c:v>
                </c:pt>
                <c:pt idx="35" formatCode="0.00">
                  <c:v>415.66666666667402</c:v>
                </c:pt>
                <c:pt idx="36" formatCode="0.00">
                  <c:v>475.19047619047831</c:v>
                </c:pt>
                <c:pt idx="37" formatCode="0.00">
                  <c:v>554.55555555554815</c:v>
                </c:pt>
                <c:pt idx="38" formatCode="0.00">
                  <c:v>665.66666666669073</c:v>
                </c:pt>
                <c:pt idx="39" formatCode="0.00">
                  <c:v>832.33333333334804</c:v>
                </c:pt>
                <c:pt idx="40" formatCode="0.00">
                  <c:v>1110.1111111110963</c:v>
                </c:pt>
                <c:pt idx="41" formatCode="0.00">
                  <c:v>1665.6666666665419</c:v>
                </c:pt>
                <c:pt idx="42" formatCode="0.00">
                  <c:v>2856.142857143172</c:v>
                </c:pt>
                <c:pt idx="43" formatCode="0.00">
                  <c:v>4999.0000000005502</c:v>
                </c:pt>
                <c:pt idx="44" formatCode="0.00">
                  <c:v>9999.0000000011005</c:v>
                </c:pt>
                <c:pt idx="45" formatCode="0.0">
                  <c:v>15000</c:v>
                </c:pt>
                <c:pt idx="46" formatCode="0.0">
                  <c:v>30000</c:v>
                </c:pt>
                <c:pt idx="47" formatCode="0.0">
                  <c:v>45000</c:v>
                </c:pt>
                <c:pt idx="48" formatCode="0.0">
                  <c:v>60000</c:v>
                </c:pt>
                <c:pt idx="49" formatCode="0.0">
                  <c:v>75000</c:v>
                </c:pt>
                <c:pt idx="50" formatCode="0.0">
                  <c:v>90000</c:v>
                </c:pt>
                <c:pt idx="51" formatCode="0.0">
                  <c:v>105000</c:v>
                </c:pt>
                <c:pt idx="52" formatCode="0.0">
                  <c:v>120000</c:v>
                </c:pt>
                <c:pt idx="53" formatCode="0.0">
                  <c:v>135000</c:v>
                </c:pt>
                <c:pt idx="54" formatCode="0.00">
                  <c:v>200000</c:v>
                </c:pt>
                <c:pt idx="55" formatCode="0.00">
                  <c:v>300000</c:v>
                </c:pt>
                <c:pt idx="56" formatCode="0.00">
                  <c:v>400000</c:v>
                </c:pt>
                <c:pt idx="57" formatCode="0.00">
                  <c:v>500000</c:v>
                </c:pt>
                <c:pt idx="58" formatCode="0.00">
                  <c:v>600000</c:v>
                </c:pt>
                <c:pt idx="59" formatCode="0.00">
                  <c:v>700000</c:v>
                </c:pt>
              </c:numCache>
            </c:numRef>
          </c:xVal>
          <c:yVal>
            <c:numRef>
              <c:f>'S3 Marine Diagenesis'!$BL$26:$BL$85</c:f>
              <c:numCache>
                <c:formatCode>0.00</c:formatCode>
                <c:ptCount val="60"/>
                <c:pt idx="0">
                  <c:v>1</c:v>
                </c:pt>
                <c:pt idx="1">
                  <c:v>0.99999997476763758</c:v>
                </c:pt>
                <c:pt idx="2">
                  <c:v>0.99999745382845173</c:v>
                </c:pt>
                <c:pt idx="3">
                  <c:v>0.99997199246953117</c:v>
                </c:pt>
                <c:pt idx="4">
                  <c:v>0.99987397229006747</c:v>
                </c:pt>
                <c:pt idx="5">
                  <c:v>0.99974796046311853</c:v>
                </c:pt>
                <c:pt idx="6">
                  <c:v>0.99962341265620214</c:v>
                </c:pt>
                <c:pt idx="7">
                  <c:v>0.99958973554676878</c:v>
                </c:pt>
                <c:pt idx="8">
                  <c:v>0.99937002026015809</c:v>
                </c:pt>
                <c:pt idx="9">
                  <c:v>0.99924407194512943</c:v>
                </c:pt>
                <c:pt idx="10">
                  <c:v>0.99874043739478879</c:v>
                </c:pt>
                <c:pt idx="11">
                  <c:v>0.9982370566840929</c:v>
                </c:pt>
                <c:pt idx="12">
                  <c:v>0.99798546147862832</c:v>
                </c:pt>
                <c:pt idx="13">
                  <c:v>0.99748246128753404</c:v>
                </c:pt>
                <c:pt idx="14">
                  <c:v>0.99497126057623675</c:v>
                </c:pt>
                <c:pt idx="15">
                  <c:v>0.99246638190994496</c:v>
                </c:pt>
                <c:pt idx="16">
                  <c:v>0.9899678093726656</c:v>
                </c:pt>
                <c:pt idx="17">
                  <c:v>0.98747552708847475</c:v>
                </c:pt>
                <c:pt idx="18">
                  <c:v>0.98250976997540351</c:v>
                </c:pt>
                <c:pt idx="19">
                  <c:v>0.97756898436089568</c:v>
                </c:pt>
                <c:pt idx="20">
                  <c:v>0.97020435297603769</c:v>
                </c:pt>
                <c:pt idx="21">
                  <c:v>0.96289520391140737</c:v>
                </c:pt>
                <c:pt idx="22">
                  <c:v>0.95323525567162215</c:v>
                </c:pt>
                <c:pt idx="23">
                  <c:v>0.94129648653365205</c:v>
                </c:pt>
                <c:pt idx="24">
                  <c:v>0.92172989394696159</c:v>
                </c:pt>
                <c:pt idx="25">
                  <c:v>0.88380843788711649</c:v>
                </c:pt>
                <c:pt idx="26">
                  <c:v>0.8715178778107423</c:v>
                </c:pt>
                <c:pt idx="27">
                  <c:v>0.85639475045005853</c:v>
                </c:pt>
                <c:pt idx="28">
                  <c:v>0.83733569590984191</c:v>
                </c:pt>
                <c:pt idx="29">
                  <c:v>0.8125817884708646</c:v>
                </c:pt>
                <c:pt idx="30">
                  <c:v>0.77915086170057435</c:v>
                </c:pt>
                <c:pt idx="31">
                  <c:v>0.73156557557528568</c:v>
                </c:pt>
                <c:pt idx="32">
                  <c:v>0.65862685942534926</c:v>
                </c:pt>
                <c:pt idx="33">
                  <c:v>0.57256000277844055</c:v>
                </c:pt>
                <c:pt idx="34">
                  <c:v>0.44458566241136244</c:v>
                </c:pt>
                <c:pt idx="35">
                  <c:v>0.35071674075316073</c:v>
                </c:pt>
                <c:pt idx="36">
                  <c:v>0.30185188447079708</c:v>
                </c:pt>
                <c:pt idx="37">
                  <c:v>0.24712143553938892</c:v>
                </c:pt>
                <c:pt idx="38">
                  <c:v>0.18675556650063765</c:v>
                </c:pt>
                <c:pt idx="39">
                  <c:v>0.12269256936312441</c:v>
                </c:pt>
                <c:pt idx="40">
                  <c:v>6.0915260321590677E-2</c:v>
                </c:pt>
                <c:pt idx="41">
                  <c:v>1.5015568892066799E-2</c:v>
                </c:pt>
                <c:pt idx="42">
                  <c:v>7.4694683303823763E-4</c:v>
                </c:pt>
                <c:pt idx="43">
                  <c:v>3.368495015985338E-6</c:v>
                </c:pt>
                <c:pt idx="44">
                  <c:v>1.1318228830350255E-11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905-EB47-9C78-713F3F9B5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108528"/>
        <c:axId val="2102011344"/>
      </c:scatterChart>
      <c:valAx>
        <c:axId val="2104108528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011344"/>
        <c:crosses val="autoZero"/>
        <c:crossBetween val="midCat"/>
      </c:valAx>
      <c:valAx>
        <c:axId val="210201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4108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'S3 Marine Diagenesis'!$BX$26:$BX$85</c:f>
              <c:numCache>
                <c:formatCode>0.00</c:formatCode>
                <c:ptCount val="60"/>
                <c:pt idx="0">
                  <c:v>1</c:v>
                </c:pt>
                <c:pt idx="1">
                  <c:v>0.99999997476763758</c:v>
                </c:pt>
                <c:pt idx="2">
                  <c:v>0.99999745382845173</c:v>
                </c:pt>
                <c:pt idx="3">
                  <c:v>0.99997199246953117</c:v>
                </c:pt>
                <c:pt idx="4">
                  <c:v>0.99987397229006747</c:v>
                </c:pt>
                <c:pt idx="5">
                  <c:v>0.99974796046311853</c:v>
                </c:pt>
                <c:pt idx="6">
                  <c:v>0.99962341265620214</c:v>
                </c:pt>
                <c:pt idx="7">
                  <c:v>0.99958973554676878</c:v>
                </c:pt>
                <c:pt idx="8">
                  <c:v>0.99937002026015809</c:v>
                </c:pt>
                <c:pt idx="9">
                  <c:v>0.99924407194512943</c:v>
                </c:pt>
                <c:pt idx="10">
                  <c:v>0.99874043739478879</c:v>
                </c:pt>
                <c:pt idx="11">
                  <c:v>0.9982370566840929</c:v>
                </c:pt>
                <c:pt idx="12">
                  <c:v>0.99798546147862832</c:v>
                </c:pt>
                <c:pt idx="13">
                  <c:v>0.99748246128753404</c:v>
                </c:pt>
                <c:pt idx="14">
                  <c:v>0.99497126057623675</c:v>
                </c:pt>
                <c:pt idx="15">
                  <c:v>0.99246638190994496</c:v>
                </c:pt>
                <c:pt idx="16">
                  <c:v>0.9899678093726656</c:v>
                </c:pt>
                <c:pt idx="17">
                  <c:v>0.98747552708847475</c:v>
                </c:pt>
                <c:pt idx="18">
                  <c:v>0.98250976997540351</c:v>
                </c:pt>
                <c:pt idx="19">
                  <c:v>0.97756898436089568</c:v>
                </c:pt>
                <c:pt idx="20">
                  <c:v>0.97020435297603769</c:v>
                </c:pt>
                <c:pt idx="21">
                  <c:v>0.96289520391140737</c:v>
                </c:pt>
                <c:pt idx="22">
                  <c:v>0.95323525567162215</c:v>
                </c:pt>
                <c:pt idx="23">
                  <c:v>0.94129648653365205</c:v>
                </c:pt>
                <c:pt idx="24">
                  <c:v>0.92172989394696159</c:v>
                </c:pt>
                <c:pt idx="25">
                  <c:v>0.88380843788711649</c:v>
                </c:pt>
                <c:pt idx="26">
                  <c:v>0.8715178778107423</c:v>
                </c:pt>
                <c:pt idx="27">
                  <c:v>0.85639475045005853</c:v>
                </c:pt>
                <c:pt idx="28">
                  <c:v>0.83733569590984191</c:v>
                </c:pt>
                <c:pt idx="29">
                  <c:v>0.8125817884708646</c:v>
                </c:pt>
                <c:pt idx="30">
                  <c:v>0.77915086170057435</c:v>
                </c:pt>
                <c:pt idx="31">
                  <c:v>0.73156557557528568</c:v>
                </c:pt>
                <c:pt idx="32">
                  <c:v>0.65862685942534926</c:v>
                </c:pt>
                <c:pt idx="33">
                  <c:v>0.57256000277844055</c:v>
                </c:pt>
                <c:pt idx="34">
                  <c:v>0.44458566241136244</c:v>
                </c:pt>
                <c:pt idx="35">
                  <c:v>0.35071674075316073</c:v>
                </c:pt>
                <c:pt idx="36">
                  <c:v>0.30185188447079708</c:v>
                </c:pt>
                <c:pt idx="37">
                  <c:v>0.24712143553938892</c:v>
                </c:pt>
                <c:pt idx="38">
                  <c:v>0.18675556650063765</c:v>
                </c:pt>
                <c:pt idx="39">
                  <c:v>0.12269256936312441</c:v>
                </c:pt>
                <c:pt idx="40">
                  <c:v>6.0915260321590677E-2</c:v>
                </c:pt>
                <c:pt idx="41">
                  <c:v>1.5015568892066799E-2</c:v>
                </c:pt>
                <c:pt idx="42">
                  <c:v>7.4694683303823763E-4</c:v>
                </c:pt>
                <c:pt idx="43">
                  <c:v>3.368495015985338E-6</c:v>
                </c:pt>
                <c:pt idx="44">
                  <c:v>1.1318228830350255E-11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9-5143-BA91-C7218534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291472"/>
        <c:axId val="2100236304"/>
      </c:scatterChart>
      <c:valAx>
        <c:axId val="-2145291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0236304"/>
        <c:crosses val="autoZero"/>
        <c:crossBetween val="midCat"/>
      </c:valAx>
      <c:valAx>
        <c:axId val="210023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45291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317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'S3 Marine Diagenesis'!$BQ$26:$BQ$85</c:f>
              <c:numCache>
                <c:formatCode>0.00</c:formatCode>
                <c:ptCount val="60"/>
                <c:pt idx="0">
                  <c:v>1.00000000000005</c:v>
                </c:pt>
                <c:pt idx="1">
                  <c:v>0.99997717330830116</c:v>
                </c:pt>
                <c:pt idx="2">
                  <c:v>0.99769927671826153</c:v>
                </c:pt>
                <c:pt idx="3">
                  <c:v>0.97498901425514817</c:v>
                </c:pt>
                <c:pt idx="4">
                  <c:v>0.89239470438056612</c:v>
                </c:pt>
                <c:pt idx="5">
                  <c:v>0.79662480925830892</c:v>
                </c:pt>
                <c:pt idx="6">
                  <c:v>0.71226204336028764</c:v>
                </c:pt>
                <c:pt idx="7">
                  <c:v>0.69105549217549711</c:v>
                </c:pt>
                <c:pt idx="8">
                  <c:v>0.56759502931315819</c:v>
                </c:pt>
                <c:pt idx="9">
                  <c:v>0.50717501900873385</c:v>
                </c:pt>
                <c:pt idx="10">
                  <c:v>0.32384791594686091</c:v>
                </c:pt>
                <c:pt idx="11">
                  <c:v>0.20717460909607727</c:v>
                </c:pt>
                <c:pt idx="12">
                  <c:v>0.16578376955956653</c:v>
                </c:pt>
                <c:pt idx="13">
                  <c:v>0.10622797512108281</c:v>
                </c:pt>
                <c:pt idx="14">
                  <c:v>1.1540745537864357E-2</c:v>
                </c:pt>
                <c:pt idx="15">
                  <c:v>1.2568265659104484E-3</c:v>
                </c:pt>
                <c:pt idx="16">
                  <c:v>1.3690857574784457E-4</c:v>
                </c:pt>
                <c:pt idx="17">
                  <c:v>1.491414452421806E-5</c:v>
                </c:pt>
                <c:pt idx="18">
                  <c:v>1.7698495073533008E-7</c:v>
                </c:pt>
                <c:pt idx="19">
                  <c:v>2.1000966622285555E-9</c:v>
                </c:pt>
                <c:pt idx="20">
                  <c:v>2.4816512481348498E-12</c:v>
                </c:pt>
                <c:pt idx="21">
                  <c:v>-2.434416304905343E-13</c:v>
                </c:pt>
                <c:pt idx="22">
                  <c:v>-4.1582898740505859E-14</c:v>
                </c:pt>
                <c:pt idx="23">
                  <c:v>-4.1582898740505859E-14</c:v>
                </c:pt>
                <c:pt idx="24">
                  <c:v>-4.1582898740505859E-14</c:v>
                </c:pt>
                <c:pt idx="25">
                  <c:v>-4.1582898740505859E-14</c:v>
                </c:pt>
                <c:pt idx="26">
                  <c:v>-4.1582898740505859E-14</c:v>
                </c:pt>
                <c:pt idx="27">
                  <c:v>-4.1582898740505859E-14</c:v>
                </c:pt>
                <c:pt idx="28">
                  <c:v>-4.1582898740505859E-14</c:v>
                </c:pt>
                <c:pt idx="29">
                  <c:v>-4.1582898740505859E-14</c:v>
                </c:pt>
                <c:pt idx="30">
                  <c:v>-4.1582898740505859E-14</c:v>
                </c:pt>
                <c:pt idx="31">
                  <c:v>-4.1582898740505859E-14</c:v>
                </c:pt>
                <c:pt idx="32">
                  <c:v>-4.1582898740505859E-14</c:v>
                </c:pt>
                <c:pt idx="33">
                  <c:v>-4.1582898740505859E-14</c:v>
                </c:pt>
                <c:pt idx="34">
                  <c:v>-4.1582898740505859E-14</c:v>
                </c:pt>
                <c:pt idx="35">
                  <c:v>-4.1582898740505859E-14</c:v>
                </c:pt>
                <c:pt idx="36">
                  <c:v>-4.1582898740505859E-14</c:v>
                </c:pt>
                <c:pt idx="37">
                  <c:v>-4.1582898740505859E-14</c:v>
                </c:pt>
                <c:pt idx="38">
                  <c:v>-4.1582898740505859E-14</c:v>
                </c:pt>
                <c:pt idx="39">
                  <c:v>-4.1582898740505859E-14</c:v>
                </c:pt>
                <c:pt idx="40">
                  <c:v>-4.1582898740505859E-14</c:v>
                </c:pt>
                <c:pt idx="41">
                  <c:v>-4.1582898740505859E-14</c:v>
                </c:pt>
                <c:pt idx="42">
                  <c:v>-4.1582898740505859E-14</c:v>
                </c:pt>
                <c:pt idx="43">
                  <c:v>-4.1582898740505859E-14</c:v>
                </c:pt>
                <c:pt idx="44">
                  <c:v>-4.1582898740505859E-14</c:v>
                </c:pt>
                <c:pt idx="45">
                  <c:v>-4.1582898740505859E-14</c:v>
                </c:pt>
                <c:pt idx="46">
                  <c:v>-4.1582898740505859E-14</c:v>
                </c:pt>
                <c:pt idx="47">
                  <c:v>-4.1582898740505859E-14</c:v>
                </c:pt>
                <c:pt idx="48">
                  <c:v>-4.1582898740505859E-14</c:v>
                </c:pt>
                <c:pt idx="49">
                  <c:v>-4.1582898740505859E-14</c:v>
                </c:pt>
                <c:pt idx="50">
                  <c:v>-4.1582898740505859E-14</c:v>
                </c:pt>
                <c:pt idx="51">
                  <c:v>-4.1582898740505859E-14</c:v>
                </c:pt>
                <c:pt idx="52">
                  <c:v>-4.1582898740505859E-14</c:v>
                </c:pt>
                <c:pt idx="53">
                  <c:v>-4.1582898740505859E-14</c:v>
                </c:pt>
                <c:pt idx="54">
                  <c:v>-4.1582898740505859E-14</c:v>
                </c:pt>
                <c:pt idx="55">
                  <c:v>-4.1582898740505859E-14</c:v>
                </c:pt>
                <c:pt idx="56">
                  <c:v>-4.1582898740505859E-14</c:v>
                </c:pt>
                <c:pt idx="57">
                  <c:v>-4.1582898740505859E-14</c:v>
                </c:pt>
                <c:pt idx="58">
                  <c:v>-4.1582898740505859E-14</c:v>
                </c:pt>
                <c:pt idx="59">
                  <c:v>-4.1582898740505859E-14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B3D-F24A-A806-0325BDCCFCC8}"/>
            </c:ext>
          </c:extLst>
        </c:ser>
        <c:ser>
          <c:idx val="2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'S3 Marine Diagenesis'!$BR$26:$BR$85</c:f>
              <c:numCache>
                <c:formatCode>0.00</c:formatCode>
                <c:ptCount val="60"/>
                <c:pt idx="0">
                  <c:v>1</c:v>
                </c:pt>
                <c:pt idx="1">
                  <c:v>0.99999992801581639</c:v>
                </c:pt>
                <c:pt idx="2">
                  <c:v>0.99999273616758144</c:v>
                </c:pt>
                <c:pt idx="3">
                  <c:v>0.99992010074531268</c:v>
                </c:pt>
                <c:pt idx="4">
                  <c:v>0.99964050362370149</c:v>
                </c:pt>
                <c:pt idx="5">
                  <c:v>0.99928113648504746</c:v>
                </c:pt>
                <c:pt idx="6">
                  <c:v>0.9989260269756185</c:v>
                </c:pt>
                <c:pt idx="7">
                  <c:v>0.99883002120402165</c:v>
                </c:pt>
                <c:pt idx="8">
                  <c:v>0.99820381003043146</c:v>
                </c:pt>
                <c:pt idx="9">
                  <c:v>0.99784495937791784</c:v>
                </c:pt>
                <c:pt idx="10">
                  <c:v>0.9964108463592698</c:v>
                </c:pt>
                <c:pt idx="11">
                  <c:v>0.9949787944625732</c:v>
                </c:pt>
                <c:pt idx="12">
                  <c:v>0.99426354050908261</c:v>
                </c:pt>
                <c:pt idx="13">
                  <c:v>0.99283457474239634</c:v>
                </c:pt>
                <c:pt idx="14">
                  <c:v>0.98572049280391505</c:v>
                </c:pt>
                <c:pt idx="15">
                  <c:v>0.97865738628784038</c:v>
                </c:pt>
                <c:pt idx="16">
                  <c:v>0.97164488993359299</c:v>
                </c:pt>
                <c:pt idx="17">
                  <c:v>0.96468264109784152</c:v>
                </c:pt>
                <c:pt idx="18">
                  <c:v>0.95090744838234664</c:v>
                </c:pt>
                <c:pt idx="19">
                  <c:v>0.93732895863036014</c:v>
                </c:pt>
                <c:pt idx="20">
                  <c:v>0.9173239087450914</c:v>
                </c:pt>
                <c:pt idx="21">
                  <c:v>0.8977458189118166</c:v>
                </c:pt>
                <c:pt idx="22">
                  <c:v>0.87229013740491534</c:v>
                </c:pt>
                <c:pt idx="23">
                  <c:v>0.84148315355537295</c:v>
                </c:pt>
                <c:pt idx="24">
                  <c:v>0.79253697339269746</c:v>
                </c:pt>
                <c:pt idx="25">
                  <c:v>0.70302010381803548</c:v>
                </c:pt>
                <c:pt idx="26">
                  <c:v>0.67548723842654723</c:v>
                </c:pt>
                <c:pt idx="27">
                  <c:v>0.64258251460849758</c:v>
                </c:pt>
                <c:pt idx="28">
                  <c:v>0.60262066104340439</c:v>
                </c:pt>
                <c:pt idx="29">
                  <c:v>0.553177069441255</c:v>
                </c:pt>
                <c:pt idx="30">
                  <c:v>0.49069584618060813</c:v>
                </c:pt>
                <c:pt idx="31">
                  <c:v>0.40995359594239256</c:v>
                </c:pt>
                <c:pt idx="32">
                  <c:v>0.30381221513005241</c:v>
                </c:pt>
                <c:pt idx="33">
                  <c:v>0.20375077649690798</c:v>
                </c:pt>
                <c:pt idx="34">
                  <c:v>9.9007741459077717E-2</c:v>
                </c:pt>
                <c:pt idx="35">
                  <c:v>5.0330172295331717E-2</c:v>
                </c:pt>
                <c:pt idx="36">
                  <c:v>3.2804179201000754E-2</c:v>
                </c:pt>
                <c:pt idx="37">
                  <c:v>1.85380274290044E-2</c:v>
                </c:pt>
                <c:pt idx="38">
                  <c:v>8.3378024882680927E-3</c:v>
                </c:pt>
                <c:pt idx="39">
                  <c:v>2.5149753165135537E-3</c:v>
                </c:pt>
                <c:pt idx="40">
                  <c:v>3.4119600194234222E-4</c:v>
                </c:pt>
                <c:pt idx="41">
                  <c:v>6.2797788056222063E-6</c:v>
                </c:pt>
                <c:pt idx="42">
                  <c:v>1.2021521261457602E-9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3D-F24A-A806-0325BDCCFCC8}"/>
            </c:ext>
          </c:extLst>
        </c:ser>
        <c:ser>
          <c:idx val="3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'S3 Marine Diagenesis'!$BT$26:$BT$85</c:f>
              <c:numCache>
                <c:formatCode>0.00</c:formatCode>
                <c:ptCount val="60"/>
                <c:pt idx="0">
                  <c:v>0.9999999999999909</c:v>
                </c:pt>
                <c:pt idx="1">
                  <c:v>0.99999997771194093</c:v>
                </c:pt>
                <c:pt idx="2">
                  <c:v>0.99999775092769838</c:v>
                </c:pt>
                <c:pt idx="3">
                  <c:v>0.99997526048306518</c:v>
                </c:pt>
                <c:pt idx="4">
                  <c:v>0.99988867699302186</c:v>
                </c:pt>
                <c:pt idx="5">
                  <c:v>0.99977736637893722</c:v>
                </c:pt>
                <c:pt idx="6">
                  <c:v>0.99966734737568896</c:v>
                </c:pt>
                <c:pt idx="7">
                  <c:v>0.99963759850801082</c:v>
                </c:pt>
                <c:pt idx="8">
                  <c:v>0.99944350887949118</c:v>
                </c:pt>
                <c:pt idx="9">
                  <c:v>0.99933224782289887</c:v>
                </c:pt>
                <c:pt idx="10">
                  <c:v>0.9988873274413308</c:v>
                </c:pt>
                <c:pt idx="11">
                  <c:v>0.99844260514633909</c:v>
                </c:pt>
                <c:pt idx="12">
                  <c:v>0.99822031825364443</c:v>
                </c:pt>
                <c:pt idx="13">
                  <c:v>0.99777589292292423</c:v>
                </c:pt>
                <c:pt idx="14">
                  <c:v>0.99555673249823129</c:v>
                </c:pt>
                <c:pt idx="15">
                  <c:v>0.99334250772380817</c:v>
                </c:pt>
                <c:pt idx="16">
                  <c:v>0.99113320762246904</c:v>
                </c:pt>
                <c:pt idx="17">
                  <c:v>0.98892882124115356</c:v>
                </c:pt>
                <c:pt idx="18">
                  <c:v>0.98453474594811252</c:v>
                </c:pt>
                <c:pt idx="19">
                  <c:v>0.98016019470690185</c:v>
                </c:pt>
                <c:pt idx="20">
                  <c:v>0.97363478578118801</c:v>
                </c:pt>
                <c:pt idx="21">
                  <c:v>0.96715281971513523</c:v>
                </c:pt>
                <c:pt idx="22">
                  <c:v>0.95857727646528734</c:v>
                </c:pt>
                <c:pt idx="23">
                  <c:v>0.94796469608325284</c:v>
                </c:pt>
                <c:pt idx="24">
                  <c:v>0.9305375164277605</c:v>
                </c:pt>
                <c:pt idx="25">
                  <c:v>0.89663839996412309</c:v>
                </c:pt>
                <c:pt idx="26">
                  <c:v>0.8856153797253512</c:v>
                </c:pt>
                <c:pt idx="27">
                  <c:v>0.87202697517961281</c:v>
                </c:pt>
                <c:pt idx="28">
                  <c:v>0.85486207770574307</c:v>
                </c:pt>
                <c:pt idx="29">
                  <c:v>0.83249997348633364</c:v>
                </c:pt>
                <c:pt idx="30">
                  <c:v>0.80217232622981138</c:v>
                </c:pt>
                <c:pt idx="31">
                  <c:v>0.75873976537110721</c:v>
                </c:pt>
                <c:pt idx="32">
                  <c:v>0.69151477464251432</c:v>
                </c:pt>
                <c:pt idx="33">
                  <c:v>0.61105404070468994</c:v>
                </c:pt>
                <c:pt idx="34">
                  <c:v>0.4886902900369583</c:v>
                </c:pt>
                <c:pt idx="35">
                  <c:v>0.39632655203848821</c:v>
                </c:pt>
                <c:pt idx="36">
                  <c:v>0.34713152104871092</c:v>
                </c:pt>
                <c:pt idx="37">
                  <c:v>0.29090324177139409</c:v>
                </c:pt>
                <c:pt idx="38">
                  <c:v>0.22714588554071624</c:v>
                </c:pt>
                <c:pt idx="39">
                  <c:v>0.15672538481911902</c:v>
                </c:pt>
                <c:pt idx="40">
                  <c:v>8.4436481687586218E-2</c:v>
                </c:pt>
                <c:pt idx="41">
                  <c:v>2.4508215846566136E-2</c:v>
                </c:pt>
                <c:pt idx="42">
                  <c:v>1.7303316108097362E-3</c:v>
                </c:pt>
                <c:pt idx="43">
                  <c:v>1.4655515545157623E-5</c:v>
                </c:pt>
                <c:pt idx="44">
                  <c:v>2.1426919274441519E-10</c:v>
                </c:pt>
                <c:pt idx="45">
                  <c:v>-2.8089707213532728E-14</c:v>
                </c:pt>
                <c:pt idx="46">
                  <c:v>-2.8089707213532728E-14</c:v>
                </c:pt>
                <c:pt idx="47">
                  <c:v>-2.8089707213532728E-14</c:v>
                </c:pt>
                <c:pt idx="48">
                  <c:v>-2.8089707213532728E-14</c:v>
                </c:pt>
                <c:pt idx="49">
                  <c:v>-2.8089707213532728E-14</c:v>
                </c:pt>
                <c:pt idx="50">
                  <c:v>-2.8089707213532728E-14</c:v>
                </c:pt>
                <c:pt idx="51">
                  <c:v>-2.8089707213532728E-14</c:v>
                </c:pt>
                <c:pt idx="52">
                  <c:v>-2.8089707213532728E-14</c:v>
                </c:pt>
                <c:pt idx="53">
                  <c:v>-2.8089707213532728E-14</c:v>
                </c:pt>
                <c:pt idx="54">
                  <c:v>-2.8089707213532728E-14</c:v>
                </c:pt>
                <c:pt idx="55">
                  <c:v>-2.8089707213532728E-14</c:v>
                </c:pt>
                <c:pt idx="56">
                  <c:v>-2.8089707213532728E-14</c:v>
                </c:pt>
                <c:pt idx="57">
                  <c:v>-2.8089707213532728E-14</c:v>
                </c:pt>
                <c:pt idx="58">
                  <c:v>-2.8089707213532728E-14</c:v>
                </c:pt>
                <c:pt idx="59">
                  <c:v>-2.8089707213532728E-14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B3D-F24A-A806-0325BDCCFCC8}"/>
            </c:ext>
          </c:extLst>
        </c:ser>
        <c:ser>
          <c:idx val="4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'S3 Marine Diagenesis'!$BU$26:$BU$85</c:f>
              <c:numCache>
                <c:formatCode>0.00</c:formatCode>
                <c:ptCount val="60"/>
                <c:pt idx="0">
                  <c:v>0.99920029306823432</c:v>
                </c:pt>
                <c:pt idx="1">
                  <c:v>0.99915357013449946</c:v>
                </c:pt>
                <c:pt idx="2">
                  <c:v>0.99449652052140292</c:v>
                </c:pt>
                <c:pt idx="3">
                  <c:v>0.94865963148125854</c:v>
                </c:pt>
                <c:pt idx="4">
                  <c:v>0.79106643352199002</c:v>
                </c:pt>
                <c:pt idx="5">
                  <c:v>0.6262869482589547</c:v>
                </c:pt>
                <c:pt idx="6">
                  <c:v>0.49716407347975333</c:v>
                </c:pt>
                <c:pt idx="7">
                  <c:v>0.46707228855347721</c:v>
                </c:pt>
                <c:pt idx="8">
                  <c:v>0.31078108156489515</c:v>
                </c:pt>
                <c:pt idx="9">
                  <c:v>0.24604524588836443</c:v>
                </c:pt>
                <c:pt idx="10">
                  <c:v>9.6662182075788847E-2</c:v>
                </c:pt>
                <c:pt idx="11">
                  <c:v>3.797503751763056E-2</c:v>
                </c:pt>
                <c:pt idx="12">
                  <c:v>2.3802305225405402E-2</c:v>
                </c:pt>
                <c:pt idx="13">
                  <c:v>9.3510555476345077E-3</c:v>
                </c:pt>
                <c:pt idx="14">
                  <c:v>8.7512224022487598E-5</c:v>
                </c:pt>
                <c:pt idx="15">
                  <c:v>8.1898661316141287E-7</c:v>
                </c:pt>
                <c:pt idx="16">
                  <c:v>7.6645563185908118E-9</c:v>
                </c:pt>
                <c:pt idx="17">
                  <c:v>7.1704299727405675E-11</c:v>
                </c:pt>
                <c:pt idx="18">
                  <c:v>4.2624045015548035E-14</c:v>
                </c:pt>
                <c:pt idx="19">
                  <c:v>4.2624045015548035E-14</c:v>
                </c:pt>
                <c:pt idx="20">
                  <c:v>4.2624045015548035E-14</c:v>
                </c:pt>
                <c:pt idx="21">
                  <c:v>4.2624045015548035E-14</c:v>
                </c:pt>
                <c:pt idx="22">
                  <c:v>4.2624045015548035E-14</c:v>
                </c:pt>
                <c:pt idx="23">
                  <c:v>4.2624045015548035E-14</c:v>
                </c:pt>
                <c:pt idx="24">
                  <c:v>4.2624045015548035E-14</c:v>
                </c:pt>
                <c:pt idx="25">
                  <c:v>4.2624045015548035E-14</c:v>
                </c:pt>
                <c:pt idx="26">
                  <c:v>4.2624045015548035E-14</c:v>
                </c:pt>
                <c:pt idx="27">
                  <c:v>4.2624045015548035E-14</c:v>
                </c:pt>
                <c:pt idx="28">
                  <c:v>4.2624045015548035E-14</c:v>
                </c:pt>
                <c:pt idx="29">
                  <c:v>4.2624045015548035E-14</c:v>
                </c:pt>
                <c:pt idx="30">
                  <c:v>4.2624045015548035E-14</c:v>
                </c:pt>
                <c:pt idx="31">
                  <c:v>4.2624045015548035E-14</c:v>
                </c:pt>
                <c:pt idx="32">
                  <c:v>4.2624045015548035E-14</c:v>
                </c:pt>
                <c:pt idx="33">
                  <c:v>4.2624045015548035E-14</c:v>
                </c:pt>
                <c:pt idx="34">
                  <c:v>4.2624045015548035E-14</c:v>
                </c:pt>
                <c:pt idx="35">
                  <c:v>4.2624045015548035E-14</c:v>
                </c:pt>
                <c:pt idx="36">
                  <c:v>4.2624045015548035E-14</c:v>
                </c:pt>
                <c:pt idx="37">
                  <c:v>4.2624045015548035E-14</c:v>
                </c:pt>
                <c:pt idx="38">
                  <c:v>4.2624045015548035E-14</c:v>
                </c:pt>
                <c:pt idx="39">
                  <c:v>4.2624045015548035E-14</c:v>
                </c:pt>
                <c:pt idx="40">
                  <c:v>4.2624045015548035E-14</c:v>
                </c:pt>
                <c:pt idx="41">
                  <c:v>4.2624045015548035E-14</c:v>
                </c:pt>
                <c:pt idx="42">
                  <c:v>4.2624045015548035E-14</c:v>
                </c:pt>
                <c:pt idx="43">
                  <c:v>4.2624045015548035E-14</c:v>
                </c:pt>
                <c:pt idx="44">
                  <c:v>4.2624045015548035E-14</c:v>
                </c:pt>
                <c:pt idx="45">
                  <c:v>4.2624045015548035E-14</c:v>
                </c:pt>
                <c:pt idx="46">
                  <c:v>4.2624045015548035E-14</c:v>
                </c:pt>
                <c:pt idx="47">
                  <c:v>4.2624045015548035E-14</c:v>
                </c:pt>
                <c:pt idx="48">
                  <c:v>4.2624045015548035E-14</c:v>
                </c:pt>
                <c:pt idx="49">
                  <c:v>4.2624045015548035E-14</c:v>
                </c:pt>
                <c:pt idx="50">
                  <c:v>4.2624045015548035E-14</c:v>
                </c:pt>
                <c:pt idx="51">
                  <c:v>4.2624045015548035E-14</c:v>
                </c:pt>
                <c:pt idx="52">
                  <c:v>4.2624045015548035E-14</c:v>
                </c:pt>
                <c:pt idx="53">
                  <c:v>4.2624045015548035E-14</c:v>
                </c:pt>
                <c:pt idx="54">
                  <c:v>4.2624045015548035E-14</c:v>
                </c:pt>
                <c:pt idx="55">
                  <c:v>4.2624045015548035E-14</c:v>
                </c:pt>
                <c:pt idx="56">
                  <c:v>4.2624045015548035E-14</c:v>
                </c:pt>
                <c:pt idx="57">
                  <c:v>4.2624045015548035E-14</c:v>
                </c:pt>
                <c:pt idx="58">
                  <c:v>4.2624045015548035E-14</c:v>
                </c:pt>
                <c:pt idx="59">
                  <c:v>4.2624045015548035E-14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3D-F24A-A806-0325BDCCFCC8}"/>
            </c:ext>
          </c:extLst>
        </c:ser>
        <c:ser>
          <c:idx val="5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'S3 Marine Diagenesis'!$BV$26:$BV$85</c:f>
              <c:numCache>
                <c:formatCode>0.00</c:formatCode>
                <c:ptCount val="60"/>
                <c:pt idx="0">
                  <c:v>1</c:v>
                </c:pt>
                <c:pt idx="1">
                  <c:v>0.99999827805726282</c:v>
                </c:pt>
                <c:pt idx="2">
                  <c:v>0.99982625526955704</c:v>
                </c:pt>
                <c:pt idx="3">
                  <c:v>0.9980904673977482</c:v>
                </c:pt>
                <c:pt idx="4">
                  <c:v>0.99143577235821512</c:v>
                </c:pt>
                <c:pt idx="5">
                  <c:v>0.98294489071153068</c:v>
                </c:pt>
                <c:pt idx="6">
                  <c:v>0.97462307664687231</c:v>
                </c:pt>
                <c:pt idx="7">
                  <c:v>0.97238484828036864</c:v>
                </c:pt>
                <c:pt idx="8">
                  <c:v>0.95790606707619497</c:v>
                </c:pt>
                <c:pt idx="9">
                  <c:v>0.94970234145830756</c:v>
                </c:pt>
                <c:pt idx="10">
                  <c:v>0.91758403334138383</c:v>
                </c:pt>
                <c:pt idx="11">
                  <c:v>0.88655194526547787</c:v>
                </c:pt>
                <c:pt idx="12">
                  <c:v>0.87143170494907007</c:v>
                </c:pt>
                <c:pt idx="13">
                  <c:v>0.84196045824304178</c:v>
                </c:pt>
                <c:pt idx="14">
                  <c:v>0.70889741324483291</c:v>
                </c:pt>
                <c:pt idx="15">
                  <c:v>0.59686359090292651</c:v>
                </c:pt>
                <c:pt idx="16">
                  <c:v>0.50253554250521548</c:v>
                </c:pt>
                <c:pt idx="17">
                  <c:v>0.4231150556511068</c:v>
                </c:pt>
                <c:pt idx="18">
                  <c:v>0.2999451684560131</c:v>
                </c:pt>
                <c:pt idx="19">
                  <c:v>0.21263035403375344</c:v>
                </c:pt>
                <c:pt idx="20">
                  <c:v>0.1269113166435466</c:v>
                </c:pt>
                <c:pt idx="21">
                  <c:v>7.5748744178085567E-2</c:v>
                </c:pt>
                <c:pt idx="22">
                  <c:v>3.8066436249623081E-2</c:v>
                </c:pt>
                <c:pt idx="23">
                  <c:v>1.6106482292198701E-2</c:v>
                </c:pt>
                <c:pt idx="24">
                  <c:v>3.8408867134087686E-3</c:v>
                </c:pt>
                <c:pt idx="25">
                  <c:v>2.184203480059912E-4</c:v>
                </c:pt>
                <c:pt idx="26">
                  <c:v>8.3993747883630046E-5</c:v>
                </c:pt>
                <c:pt idx="27">
                  <c:v>2.5435442201868919E-5</c:v>
                </c:pt>
                <c:pt idx="28">
                  <c:v>5.4752110216024824E-6</c:v>
                </c:pt>
                <c:pt idx="29">
                  <c:v>7.0634404542058682E-7</c:v>
                </c:pt>
                <c:pt idx="30">
                  <c:v>4.016778513352863E-8</c:v>
                </c:pt>
                <c:pt idx="31">
                  <c:v>5.4471621859368002E-10</c:v>
                </c:pt>
                <c:pt idx="32">
                  <c:v>4.2003409723530054E-13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B3D-F24A-A806-0325BDCCFCC8}"/>
            </c:ext>
          </c:extLst>
        </c:ser>
        <c:ser>
          <c:idx val="6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'S3 Marine Diagenesis'!$BW$26:$BW$85</c:f>
              <c:numCache>
                <c:formatCode>0.00</c:formatCode>
                <c:ptCount val="60"/>
                <c:pt idx="0">
                  <c:v>1</c:v>
                </c:pt>
                <c:pt idx="1">
                  <c:v>0.99999957151698238</c:v>
                </c:pt>
                <c:pt idx="2">
                  <c:v>0.99995676309369741</c:v>
                </c:pt>
                <c:pt idx="3">
                  <c:v>0.99952449683598943</c:v>
                </c:pt>
                <c:pt idx="4">
                  <c:v>0.99786201561969001</c:v>
                </c:pt>
                <c:pt idx="5">
                  <c:v>0.99572860221659032</c:v>
                </c:pt>
                <c:pt idx="6">
                  <c:v>0.99362419370775457</c:v>
                </c:pt>
                <c:pt idx="7">
                  <c:v>0.99305589139667894</c:v>
                </c:pt>
                <c:pt idx="8">
                  <c:v>0.98935569024820003</c:v>
                </c:pt>
                <c:pt idx="9">
                  <c:v>0.98724046323587844</c:v>
                </c:pt>
                <c:pt idx="10">
                  <c:v>0.97882468182649207</c:v>
                </c:pt>
                <c:pt idx="11">
                  <c:v>0.97048064117264443</c:v>
                </c:pt>
                <c:pt idx="12">
                  <c:v>0.96633533231309754</c:v>
                </c:pt>
                <c:pt idx="13">
                  <c:v>0.95809775775273376</c:v>
                </c:pt>
                <c:pt idx="14">
                  <c:v>0.91795131341081604</c:v>
                </c:pt>
                <c:pt idx="15">
                  <c:v>0.87948709510507983</c:v>
                </c:pt>
                <c:pt idx="16">
                  <c:v>0.84263461379264226</c:v>
                </c:pt>
                <c:pt idx="17">
                  <c:v>0.80732633407957133</c:v>
                </c:pt>
                <c:pt idx="18">
                  <c:v>0.74108626871948169</c:v>
                </c:pt>
                <c:pt idx="19">
                  <c:v>0.68028111372176903</c:v>
                </c:pt>
                <c:pt idx="20">
                  <c:v>0.59829846056200708</c:v>
                </c:pt>
                <c:pt idx="21">
                  <c:v>0.52619577508552084</c:v>
                </c:pt>
                <c:pt idx="22">
                  <c:v>0.44339077371850821</c:v>
                </c:pt>
                <c:pt idx="23">
                  <c:v>0.35796104791086802</c:v>
                </c:pt>
                <c:pt idx="24">
                  <c:v>0.2505634012103477</c:v>
                </c:pt>
                <c:pt idx="25">
                  <c:v>0.12276692142328167</c:v>
                </c:pt>
                <c:pt idx="26">
                  <c:v>9.6783786378545497E-2</c:v>
                </c:pt>
                <c:pt idx="27">
                  <c:v>7.18959062927194E-2</c:v>
                </c:pt>
                <c:pt idx="28">
                  <c:v>4.905919824302369E-2</c:v>
                </c:pt>
                <c:pt idx="29">
                  <c:v>2.9471946813848186E-2</c:v>
                </c:pt>
                <c:pt idx="30">
                  <c:v>1.4440178259112063E-2</c:v>
                </c:pt>
                <c:pt idx="31">
                  <c:v>4.9524277572123151E-3</c:v>
                </c:pt>
                <c:pt idx="32">
                  <c:v>8.3219954369904688E-4</c:v>
                </c:pt>
                <c:pt idx="33">
                  <c:v>7.7168472845509035E-5</c:v>
                </c:pt>
                <c:pt idx="34">
                  <c:v>1.0513786129003864E-6</c:v>
                </c:pt>
                <c:pt idx="35">
                  <c:v>1.8736282201303584E-8</c:v>
                </c:pt>
                <c:pt idx="36">
                  <c:v>1.4659707711500455E-9</c:v>
                </c:pt>
                <c:pt idx="37">
                  <c:v>4.9058526957489191E-11</c:v>
                </c:pt>
                <c:pt idx="38">
                  <c:v>4.2183445397172177E-13</c:v>
                </c:pt>
                <c:pt idx="39">
                  <c:v>3.3600729364176671E-16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3D-F24A-A806-0325BDCCFCC8}"/>
            </c:ext>
          </c:extLst>
        </c:ser>
        <c:ser>
          <c:idx val="0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'S3 Marine Diagenesis'!$BX$26:$BX$85</c:f>
              <c:numCache>
                <c:formatCode>0.00</c:formatCode>
                <c:ptCount val="60"/>
                <c:pt idx="0">
                  <c:v>1</c:v>
                </c:pt>
                <c:pt idx="1">
                  <c:v>0.99999997476763758</c:v>
                </c:pt>
                <c:pt idx="2">
                  <c:v>0.99999745382845173</c:v>
                </c:pt>
                <c:pt idx="3">
                  <c:v>0.99997199246953117</c:v>
                </c:pt>
                <c:pt idx="4">
                  <c:v>0.99987397229006747</c:v>
                </c:pt>
                <c:pt idx="5">
                  <c:v>0.99974796046311853</c:v>
                </c:pt>
                <c:pt idx="6">
                  <c:v>0.99962341265620214</c:v>
                </c:pt>
                <c:pt idx="7">
                  <c:v>0.99958973554676878</c:v>
                </c:pt>
                <c:pt idx="8">
                  <c:v>0.99937002026015809</c:v>
                </c:pt>
                <c:pt idx="9">
                  <c:v>0.99924407194512943</c:v>
                </c:pt>
                <c:pt idx="10">
                  <c:v>0.99874043739478879</c:v>
                </c:pt>
                <c:pt idx="11">
                  <c:v>0.9982370566840929</c:v>
                </c:pt>
                <c:pt idx="12">
                  <c:v>0.99798546147862832</c:v>
                </c:pt>
                <c:pt idx="13">
                  <c:v>0.99748246128753404</c:v>
                </c:pt>
                <c:pt idx="14">
                  <c:v>0.99497126057623675</c:v>
                </c:pt>
                <c:pt idx="15">
                  <c:v>0.99246638190994496</c:v>
                </c:pt>
                <c:pt idx="16">
                  <c:v>0.9899678093726656</c:v>
                </c:pt>
                <c:pt idx="17">
                  <c:v>0.98747552708847475</c:v>
                </c:pt>
                <c:pt idx="18">
                  <c:v>0.98250976997540351</c:v>
                </c:pt>
                <c:pt idx="19">
                  <c:v>0.97756898436089568</c:v>
                </c:pt>
                <c:pt idx="20">
                  <c:v>0.97020435297603769</c:v>
                </c:pt>
                <c:pt idx="21">
                  <c:v>0.96289520391140737</c:v>
                </c:pt>
                <c:pt idx="22">
                  <c:v>0.95323525567162215</c:v>
                </c:pt>
                <c:pt idx="23">
                  <c:v>0.94129648653365205</c:v>
                </c:pt>
                <c:pt idx="24">
                  <c:v>0.92172989394696159</c:v>
                </c:pt>
                <c:pt idx="25">
                  <c:v>0.88380843788711649</c:v>
                </c:pt>
                <c:pt idx="26">
                  <c:v>0.8715178778107423</c:v>
                </c:pt>
                <c:pt idx="27">
                  <c:v>0.85639475045005853</c:v>
                </c:pt>
                <c:pt idx="28">
                  <c:v>0.83733569590984191</c:v>
                </c:pt>
                <c:pt idx="29">
                  <c:v>0.8125817884708646</c:v>
                </c:pt>
                <c:pt idx="30">
                  <c:v>0.77915086170057435</c:v>
                </c:pt>
                <c:pt idx="31">
                  <c:v>0.73156557557528568</c:v>
                </c:pt>
                <c:pt idx="32">
                  <c:v>0.65862685942534926</c:v>
                </c:pt>
                <c:pt idx="33">
                  <c:v>0.57256000277844055</c:v>
                </c:pt>
                <c:pt idx="34">
                  <c:v>0.44458566241136244</c:v>
                </c:pt>
                <c:pt idx="35">
                  <c:v>0.35071674075316073</c:v>
                </c:pt>
                <c:pt idx="36">
                  <c:v>0.30185188447079708</c:v>
                </c:pt>
                <c:pt idx="37">
                  <c:v>0.24712143553938892</c:v>
                </c:pt>
                <c:pt idx="38">
                  <c:v>0.18675556650063765</c:v>
                </c:pt>
                <c:pt idx="39">
                  <c:v>0.12269256936312441</c:v>
                </c:pt>
                <c:pt idx="40">
                  <c:v>6.0915260321590677E-2</c:v>
                </c:pt>
                <c:pt idx="41">
                  <c:v>1.5015568892066799E-2</c:v>
                </c:pt>
                <c:pt idx="42">
                  <c:v>7.4694683303823763E-4</c:v>
                </c:pt>
                <c:pt idx="43">
                  <c:v>3.368495015985338E-6</c:v>
                </c:pt>
                <c:pt idx="44">
                  <c:v>1.1318228830350255E-11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xVal>
          <c:yVal>
            <c:numRef>
              <c:f>'S3 Marine Diagenesis'!$BS$26:$BS$85</c:f>
              <c:numCache>
                <c:formatCode>0.00</c:formatCode>
                <c:ptCount val="60"/>
                <c:pt idx="0">
                  <c:v>1</c:v>
                </c:pt>
                <c:pt idx="1">
                  <c:v>0.99999988262549022</c:v>
                </c:pt>
                <c:pt idx="2">
                  <c:v>0.99998815594108481</c:v>
                </c:pt>
                <c:pt idx="3">
                  <c:v>0.99986972614517922</c:v>
                </c:pt>
                <c:pt idx="4">
                  <c:v>0.99941395457517934</c:v>
                </c:pt>
                <c:pt idx="5">
                  <c:v>0.99882838947881525</c:v>
                </c:pt>
                <c:pt idx="6">
                  <c:v>0.99825002655329398</c:v>
                </c:pt>
                <c:pt idx="7">
                  <c:v>0.99809370816771659</c:v>
                </c:pt>
                <c:pt idx="8">
                  <c:v>0.99707457063830907</c:v>
                </c:pt>
                <c:pt idx="9">
                  <c:v>0.99649092133795791</c:v>
                </c:pt>
                <c:pt idx="10">
                  <c:v>0.99416109439488021</c:v>
                </c:pt>
                <c:pt idx="11">
                  <c:v>0.99183887363161261</c:v>
                </c:pt>
                <c:pt idx="12">
                  <c:v>0.99068060468238062</c:v>
                </c:pt>
                <c:pt idx="13">
                  <c:v>0.98836972799418377</c:v>
                </c:pt>
                <c:pt idx="14">
                  <c:v>0.97692745541610759</c:v>
                </c:pt>
                <c:pt idx="15">
                  <c:v>0.96566894797053571</c:v>
                </c:pt>
                <c:pt idx="16">
                  <c:v>0.95459009679945472</c:v>
                </c:pt>
                <c:pt idx="17">
                  <c:v>0.94368691387029435</c:v>
                </c:pt>
                <c:pt idx="18">
                  <c:v>0.92239217846862942</c:v>
                </c:pt>
                <c:pt idx="19">
                  <c:v>0.90175509116492347</c:v>
                </c:pt>
                <c:pt idx="20">
                  <c:v>0.87197177098463063</c:v>
                </c:pt>
                <c:pt idx="21">
                  <c:v>0.84351757706824304</c:v>
                </c:pt>
                <c:pt idx="22">
                  <c:v>0.80750727749916806</c:v>
                </c:pt>
                <c:pt idx="23">
                  <c:v>0.7653520115796244</c:v>
                </c:pt>
                <c:pt idx="24">
                  <c:v>0.70139347607875013</c:v>
                </c:pt>
                <c:pt idx="25">
                  <c:v>0.59312434911740552</c:v>
                </c:pt>
                <c:pt idx="26">
                  <c:v>0.5618857351474672</c:v>
                </c:pt>
                <c:pt idx="27">
                  <c:v>0.52572386828767204</c:v>
                </c:pt>
                <c:pt idx="28">
                  <c:v>0.48343231665654679</c:v>
                </c:pt>
                <c:pt idx="29">
                  <c:v>0.43342093681623406</c:v>
                </c:pt>
                <c:pt idx="30">
                  <c:v>0.3736071781128254</c:v>
                </c:pt>
                <c:pt idx="31">
                  <c:v>0.30138575493892472</c:v>
                </c:pt>
                <c:pt idx="32">
                  <c:v>0.21411429170380669</c:v>
                </c:pt>
                <c:pt idx="33">
                  <c:v>0.138698195367956</c:v>
                </c:pt>
                <c:pt idx="34">
                  <c:v>6.5609654404534382E-2</c:v>
                </c:pt>
                <c:pt idx="35">
                  <c:v>3.3185746952691685E-2</c:v>
                </c:pt>
                <c:pt idx="36">
                  <c:v>2.1645533673746123E-2</c:v>
                </c:pt>
                <c:pt idx="37">
                  <c:v>1.2252227065686735E-2</c:v>
                </c:pt>
                <c:pt idx="38">
                  <c:v>5.5001241027066248E-3</c:v>
                </c:pt>
                <c:pt idx="39">
                  <c:v>1.6178492872695465E-3</c:v>
                </c:pt>
                <c:pt idx="40">
                  <c:v>1.8671304863684393E-4</c:v>
                </c:pt>
                <c:pt idx="41">
                  <c:v>-1.0010211424085751E-6</c:v>
                </c:pt>
                <c:pt idx="42">
                  <c:v>-1.1339181415905396E-8</c:v>
                </c:pt>
                <c:pt idx="43">
                  <c:v>-3.6621477805605997E-14</c:v>
                </c:pt>
                <c:pt idx="44">
                  <c:v>1.8310738902802999E-14</c:v>
                </c:pt>
                <c:pt idx="45">
                  <c:v>1.8310738902802999E-14</c:v>
                </c:pt>
                <c:pt idx="46">
                  <c:v>1.8310738902802999E-14</c:v>
                </c:pt>
                <c:pt idx="47">
                  <c:v>1.8310738902802999E-14</c:v>
                </c:pt>
                <c:pt idx="48">
                  <c:v>1.8310738902802999E-14</c:v>
                </c:pt>
                <c:pt idx="49">
                  <c:v>1.8310738902802999E-14</c:v>
                </c:pt>
                <c:pt idx="50">
                  <c:v>1.8310738902802999E-14</c:v>
                </c:pt>
                <c:pt idx="51">
                  <c:v>1.8310738902802999E-14</c:v>
                </c:pt>
                <c:pt idx="52">
                  <c:v>1.8310738902802999E-14</c:v>
                </c:pt>
                <c:pt idx="53">
                  <c:v>1.8310738902802999E-14</c:v>
                </c:pt>
                <c:pt idx="54">
                  <c:v>1.8310738902802999E-14</c:v>
                </c:pt>
                <c:pt idx="55">
                  <c:v>1.8310738902802999E-14</c:v>
                </c:pt>
                <c:pt idx="56">
                  <c:v>1.8310738902802999E-14</c:v>
                </c:pt>
                <c:pt idx="57">
                  <c:v>1.8310738902802999E-14</c:v>
                </c:pt>
                <c:pt idx="58">
                  <c:v>1.8310738902802999E-14</c:v>
                </c:pt>
                <c:pt idx="59">
                  <c:v>1.8310738902802999E-14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B3D-F24A-A806-0325BDCCF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736400"/>
        <c:axId val="2131135008"/>
      </c:scatterChart>
      <c:valAx>
        <c:axId val="2102736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135008"/>
        <c:crosses val="autoZero"/>
        <c:crossBetween val="midCat"/>
      </c:valAx>
      <c:valAx>
        <c:axId val="2131135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2736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177800</xdr:colOff>
      <xdr:row>24</xdr:row>
      <xdr:rowOff>266700</xdr:rowOff>
    </xdr:from>
    <xdr:to>
      <xdr:col>4</xdr:col>
      <xdr:colOff>381000</xdr:colOff>
      <xdr:row>39</xdr:row>
      <xdr:rowOff>63500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4F1FAB54-3210-444B-AD76-689056299B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68</xdr:col>
      <xdr:colOff>819150</xdr:colOff>
      <xdr:row>68</xdr:row>
      <xdr:rowOff>133350</xdr:rowOff>
    </xdr:from>
    <xdr:to>
      <xdr:col>74</xdr:col>
      <xdr:colOff>438150</xdr:colOff>
      <xdr:row>82</xdr:row>
      <xdr:rowOff>31750</xdr:rowOff>
    </xdr:to>
    <xdr:graphicFrame macro="">
      <xdr:nvGraphicFramePr>
        <xdr:cNvPr id="3" name="Graphique 5">
          <a:extLst>
            <a:ext uri="{FF2B5EF4-FFF2-40B4-BE49-F238E27FC236}">
              <a16:creationId xmlns:a16="http://schemas.microsoft.com/office/drawing/2014/main" id="{2D825C7B-9584-B543-8607-2BBED85B9F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69</xdr:col>
      <xdr:colOff>120650</xdr:colOff>
      <xdr:row>83</xdr:row>
      <xdr:rowOff>146050</xdr:rowOff>
    </xdr:from>
    <xdr:to>
      <xdr:col>74</xdr:col>
      <xdr:colOff>565150</xdr:colOff>
      <xdr:row>97</xdr:row>
      <xdr:rowOff>44450</xdr:rowOff>
    </xdr:to>
    <xdr:graphicFrame macro="">
      <xdr:nvGraphicFramePr>
        <xdr:cNvPr id="4" name="Graphique 6">
          <a:extLst>
            <a:ext uri="{FF2B5EF4-FFF2-40B4-BE49-F238E27FC236}">
              <a16:creationId xmlns:a16="http://schemas.microsoft.com/office/drawing/2014/main" id="{81295109-0E5C-8440-B0A9-77EDA5257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 LiCa rivers"/>
      <sheetName val="S2 Meteoric Diagenesis"/>
      <sheetName val="S3 Marine Diagenesis"/>
      <sheetName val="S4 Leaching tests"/>
      <sheetName val="S5 Mass balance of LMC"/>
      <sheetName val="S6 All data"/>
    </sheetNames>
    <sheetDataSet>
      <sheetData sheetId="0"/>
      <sheetData sheetId="1"/>
      <sheetData sheetId="2">
        <row r="26">
          <cell r="H26">
            <v>0</v>
          </cell>
          <cell r="P26">
            <v>1.00000000000005</v>
          </cell>
          <cell r="T26">
            <v>1</v>
          </cell>
          <cell r="AB26">
            <v>1</v>
          </cell>
          <cell r="AK26">
            <v>1.0000000000000271</v>
          </cell>
          <cell r="AT26">
            <v>0.99920029306823432</v>
          </cell>
          <cell r="AZ26">
            <v>1</v>
          </cell>
          <cell r="BF26">
            <v>1</v>
          </cell>
          <cell r="BL26">
            <v>1</v>
          </cell>
          <cell r="BQ26">
            <v>1.00000000000005</v>
          </cell>
          <cell r="BR26">
            <v>1</v>
          </cell>
          <cell r="BS26">
            <v>1</v>
          </cell>
          <cell r="BT26">
            <v>0.9999999999999909</v>
          </cell>
          <cell r="BU26">
            <v>0.99920029306823432</v>
          </cell>
          <cell r="BV26">
            <v>1</v>
          </cell>
          <cell r="BW26">
            <v>1</v>
          </cell>
          <cell r="BX26">
            <v>1</v>
          </cell>
        </row>
        <row r="27">
          <cell r="H27">
            <v>1.001001001001E-5</v>
          </cell>
          <cell r="P27">
            <v>0.99997717330830116</v>
          </cell>
          <cell r="T27">
            <v>0.99999993878953786</v>
          </cell>
          <cell r="AB27">
            <v>0.99999986052801726</v>
          </cell>
          <cell r="AK27">
            <v>0.99999997771192695</v>
          </cell>
          <cell r="AT27">
            <v>0.99915357013449946</v>
          </cell>
          <cell r="AZ27">
            <v>0.99999827805726282</v>
          </cell>
          <cell r="BF27">
            <v>0.99999957151698238</v>
          </cell>
          <cell r="BL27">
            <v>0.99999997476763758</v>
          </cell>
          <cell r="BQ27">
            <v>0.99997717330830116</v>
          </cell>
          <cell r="BR27">
            <v>0.99999992801581639</v>
          </cell>
          <cell r="BS27">
            <v>0.99999988262549022</v>
          </cell>
          <cell r="BT27">
            <v>0.99999997771194093</v>
          </cell>
          <cell r="BU27">
            <v>0.99915357013449946</v>
          </cell>
          <cell r="BV27">
            <v>0.99999827805726282</v>
          </cell>
          <cell r="BW27">
            <v>0.99999957151698238</v>
          </cell>
          <cell r="BX27">
            <v>0.99999997476763758</v>
          </cell>
        </row>
        <row r="28">
          <cell r="H28">
            <v>1.0101010101010101E-3</v>
          </cell>
          <cell r="P28">
            <v>0.99769927671826153</v>
          </cell>
          <cell r="T28">
            <v>0.99999382332678421</v>
          </cell>
          <cell r="AB28">
            <v>0.99998592615301551</v>
          </cell>
          <cell r="AK28">
            <v>0.99999775092772047</v>
          </cell>
          <cell r="AT28">
            <v>0.99449652052140292</v>
          </cell>
          <cell r="AZ28">
            <v>0.99982625526955704</v>
          </cell>
          <cell r="BF28">
            <v>0.99995676309369741</v>
          </cell>
          <cell r="BL28">
            <v>0.99999745382845173</v>
          </cell>
          <cell r="BQ28">
            <v>0.99769927671826153</v>
          </cell>
          <cell r="BR28">
            <v>0.99999273616758144</v>
          </cell>
          <cell r="BS28">
            <v>0.99998815594108481</v>
          </cell>
          <cell r="BT28">
            <v>0.99999775092769838</v>
          </cell>
          <cell r="BU28">
            <v>0.99449652052140292</v>
          </cell>
          <cell r="BV28">
            <v>0.99982625526955704</v>
          </cell>
          <cell r="BW28">
            <v>0.99995676309369741</v>
          </cell>
          <cell r="BX28">
            <v>0.99999745382845173</v>
          </cell>
        </row>
        <row r="29">
          <cell r="H29">
            <v>1.1111111111111099E-2</v>
          </cell>
          <cell r="P29">
            <v>0.97498901425514817</v>
          </cell>
          <cell r="T29">
            <v>0.99993205869290824</v>
          </cell>
          <cell r="AB29">
            <v>0.99984520361567453</v>
          </cell>
          <cell r="AK29">
            <v>0.99997526048294028</v>
          </cell>
          <cell r="AT29">
            <v>0.94865963148125854</v>
          </cell>
          <cell r="AZ29">
            <v>0.9980904673977482</v>
          </cell>
          <cell r="BF29">
            <v>0.99952449683598943</v>
          </cell>
          <cell r="BL29">
            <v>0.99997199246953117</v>
          </cell>
          <cell r="BQ29">
            <v>0.97498901425514817</v>
          </cell>
          <cell r="BR29">
            <v>0.99992010074531268</v>
          </cell>
          <cell r="BS29">
            <v>0.99986972614517922</v>
          </cell>
          <cell r="BT29">
            <v>0.99997526048306518</v>
          </cell>
          <cell r="BU29">
            <v>0.94865963148125854</v>
          </cell>
          <cell r="BV29">
            <v>0.9980904673977482</v>
          </cell>
          <cell r="BW29">
            <v>0.99952449683598943</v>
          </cell>
          <cell r="BX29">
            <v>0.99997199246953117</v>
          </cell>
        </row>
        <row r="30">
          <cell r="H30">
            <v>0.05</v>
          </cell>
          <cell r="P30">
            <v>0.89239470438056612</v>
          </cell>
          <cell r="T30">
            <v>0.99969430046719598</v>
          </cell>
          <cell r="AB30">
            <v>0.99930369216814319</v>
          </cell>
          <cell r="AK30">
            <v>0.99988867699302031</v>
          </cell>
          <cell r="AT30">
            <v>0.79106643352199002</v>
          </cell>
          <cell r="AZ30">
            <v>0.99143577235821512</v>
          </cell>
          <cell r="BF30">
            <v>0.99786201561969001</v>
          </cell>
          <cell r="BL30">
            <v>0.99987397229006747</v>
          </cell>
          <cell r="BQ30">
            <v>0.89239470438056612</v>
          </cell>
          <cell r="BR30">
            <v>0.99964050362370149</v>
          </cell>
          <cell r="BS30">
            <v>0.99941395457517934</v>
          </cell>
          <cell r="BT30">
            <v>0.99988867699302186</v>
          </cell>
          <cell r="BU30">
            <v>0.79106643352199002</v>
          </cell>
          <cell r="BV30">
            <v>0.99143577235821512</v>
          </cell>
          <cell r="BW30">
            <v>0.99786201561969001</v>
          </cell>
          <cell r="BX30">
            <v>0.99987397229006747</v>
          </cell>
        </row>
        <row r="31">
          <cell r="H31">
            <v>0.1</v>
          </cell>
          <cell r="P31">
            <v>0.79662480925830892</v>
          </cell>
          <cell r="T31">
            <v>0.99938869438659594</v>
          </cell>
          <cell r="AB31">
            <v>0.99860809317531185</v>
          </cell>
          <cell r="AK31">
            <v>0.9997773663789683</v>
          </cell>
          <cell r="AT31">
            <v>0.6262869482589547</v>
          </cell>
          <cell r="AZ31">
            <v>0.98294489071153068</v>
          </cell>
          <cell r="BF31">
            <v>0.99572860221659032</v>
          </cell>
          <cell r="BL31">
            <v>0.99974796046311853</v>
          </cell>
          <cell r="BQ31">
            <v>0.79662480925830892</v>
          </cell>
          <cell r="BR31">
            <v>0.99928113648504746</v>
          </cell>
          <cell r="BS31">
            <v>0.99882838947881525</v>
          </cell>
          <cell r="BT31">
            <v>0.99977736637893722</v>
          </cell>
          <cell r="BU31">
            <v>0.6262869482589547</v>
          </cell>
          <cell r="BV31">
            <v>0.98294489071153068</v>
          </cell>
          <cell r="BW31">
            <v>0.99572860221659032</v>
          </cell>
          <cell r="BX31">
            <v>0.99974796046311853</v>
          </cell>
        </row>
        <row r="32">
          <cell r="H32">
            <v>0.14942528735632185</v>
          </cell>
          <cell r="P32">
            <v>0.71226204336028764</v>
          </cell>
          <cell r="T32">
            <v>0.99908669283872897</v>
          </cell>
          <cell r="AB32">
            <v>0.99792118522821482</v>
          </cell>
          <cell r="AK32">
            <v>0.99966734737572061</v>
          </cell>
          <cell r="AT32">
            <v>0.49716407347975333</v>
          </cell>
          <cell r="AZ32">
            <v>0.97462307664687231</v>
          </cell>
          <cell r="BF32">
            <v>0.99362419370775457</v>
          </cell>
          <cell r="BL32">
            <v>0.99962341265620214</v>
          </cell>
          <cell r="BQ32">
            <v>0.71226204336028764</v>
          </cell>
          <cell r="BR32">
            <v>0.9989260269756185</v>
          </cell>
          <cell r="BS32">
            <v>0.99825002655329398</v>
          </cell>
          <cell r="BT32">
            <v>0.99966734737568896</v>
          </cell>
          <cell r="BU32">
            <v>0.49716407347975333</v>
          </cell>
          <cell r="BV32">
            <v>0.97462307664687231</v>
          </cell>
          <cell r="BW32">
            <v>0.99362419370775457</v>
          </cell>
          <cell r="BX32">
            <v>0.99962341265620214</v>
          </cell>
        </row>
        <row r="33">
          <cell r="H33">
            <v>0.16279069767441862</v>
          </cell>
          <cell r="P33">
            <v>0.69105549217549711</v>
          </cell>
          <cell r="T33">
            <v>0.99900504233195653</v>
          </cell>
          <cell r="AB33">
            <v>0.99773555269820324</v>
          </cell>
          <cell r="AK33">
            <v>0.99963759850805423</v>
          </cell>
          <cell r="AT33">
            <v>0.46707228855347721</v>
          </cell>
          <cell r="AZ33">
            <v>0.97238484828036864</v>
          </cell>
          <cell r="BF33">
            <v>0.99305589139667894</v>
          </cell>
          <cell r="BL33">
            <v>0.99958973554676878</v>
          </cell>
          <cell r="BQ33">
            <v>0.69105549217549711</v>
          </cell>
          <cell r="BR33">
            <v>0.99883002120402165</v>
          </cell>
          <cell r="BS33">
            <v>0.99809370816771659</v>
          </cell>
          <cell r="BT33">
            <v>0.99963759850801082</v>
          </cell>
          <cell r="BU33">
            <v>0.46707228855347721</v>
          </cell>
          <cell r="BV33">
            <v>0.97238484828036864</v>
          </cell>
          <cell r="BW33">
            <v>0.99305589139667894</v>
          </cell>
          <cell r="BX33">
            <v>0.99958973554676878</v>
          </cell>
        </row>
        <row r="34">
          <cell r="H34">
            <v>0.25</v>
          </cell>
          <cell r="P34">
            <v>0.56759502931315819</v>
          </cell>
          <cell r="T34">
            <v>0.99847243657238338</v>
          </cell>
          <cell r="AB34">
            <v>0.9965255389308324</v>
          </cell>
          <cell r="AK34">
            <v>0.99944350887947409</v>
          </cell>
          <cell r="AT34">
            <v>0.31078108156489515</v>
          </cell>
          <cell r="AZ34">
            <v>0.95790606707619497</v>
          </cell>
          <cell r="BF34">
            <v>0.98935569024820003</v>
          </cell>
          <cell r="BL34">
            <v>0.99937002026015809</v>
          </cell>
          <cell r="BQ34">
            <v>0.56759502931315819</v>
          </cell>
          <cell r="BR34">
            <v>0.99820381003043146</v>
          </cell>
          <cell r="BS34">
            <v>0.99707457063830907</v>
          </cell>
          <cell r="BT34">
            <v>0.99944350887949118</v>
          </cell>
          <cell r="BU34">
            <v>0.31078108156489515</v>
          </cell>
          <cell r="BV34">
            <v>0.95790606707619497</v>
          </cell>
          <cell r="BW34">
            <v>0.98935569024820003</v>
          </cell>
          <cell r="BX34">
            <v>0.99937002026015809</v>
          </cell>
        </row>
        <row r="35">
          <cell r="H35">
            <v>0.3</v>
          </cell>
          <cell r="P35">
            <v>0.50717501900873385</v>
          </cell>
          <cell r="T35">
            <v>0.99816720401500536</v>
          </cell>
          <cell r="AB35">
            <v>0.99583276500409035</v>
          </cell>
          <cell r="AK35">
            <v>0.99933224782278907</v>
          </cell>
          <cell r="AT35">
            <v>0.24604524588836443</v>
          </cell>
          <cell r="AZ35">
            <v>0.94970234145830756</v>
          </cell>
          <cell r="BF35">
            <v>0.98724046323587844</v>
          </cell>
          <cell r="BL35">
            <v>0.99924407194512943</v>
          </cell>
          <cell r="BQ35">
            <v>0.50717501900873385</v>
          </cell>
          <cell r="BR35">
            <v>0.99784495937791784</v>
          </cell>
          <cell r="BS35">
            <v>0.99649092133795791</v>
          </cell>
          <cell r="BT35">
            <v>0.99933224782289887</v>
          </cell>
          <cell r="BU35">
            <v>0.24604524588836443</v>
          </cell>
          <cell r="BV35">
            <v>0.94970234145830756</v>
          </cell>
          <cell r="BW35">
            <v>0.98724046323587844</v>
          </cell>
          <cell r="BX35">
            <v>0.99924407194512943</v>
          </cell>
        </row>
        <row r="36">
          <cell r="H36">
            <v>0.5</v>
          </cell>
          <cell r="P36">
            <v>0.32384791594686091</v>
          </cell>
          <cell r="T36">
            <v>0.9969472065947923</v>
          </cell>
          <cell r="AB36">
            <v>0.99306869613637805</v>
          </cell>
          <cell r="AK36">
            <v>0.99888732744134279</v>
          </cell>
          <cell r="AT36">
            <v>9.6662182075788847E-2</v>
          </cell>
          <cell r="AZ36">
            <v>0.91758403334138383</v>
          </cell>
          <cell r="BF36">
            <v>0.97882468182649207</v>
          </cell>
          <cell r="BL36">
            <v>0.99874043739478879</v>
          </cell>
          <cell r="BQ36">
            <v>0.32384791594686091</v>
          </cell>
          <cell r="BR36">
            <v>0.9964108463592698</v>
          </cell>
          <cell r="BS36">
            <v>0.99416109439488021</v>
          </cell>
          <cell r="BT36">
            <v>0.9988873274413308</v>
          </cell>
          <cell r="BU36">
            <v>9.6662182075788847E-2</v>
          </cell>
          <cell r="BV36">
            <v>0.91758403334138383</v>
          </cell>
          <cell r="BW36">
            <v>0.97882468182649207</v>
          </cell>
          <cell r="BX36">
            <v>0.99874043739478879</v>
          </cell>
        </row>
        <row r="37">
          <cell r="H37">
            <v>0.7</v>
          </cell>
          <cell r="P37">
            <v>0.20717460909607727</v>
          </cell>
          <cell r="T37">
            <v>0.99572870030121519</v>
          </cell>
          <cell r="AB37">
            <v>0.99031582141245833</v>
          </cell>
          <cell r="AK37">
            <v>0.9984426051463775</v>
          </cell>
          <cell r="AT37">
            <v>3.797503751763056E-2</v>
          </cell>
          <cell r="AZ37">
            <v>0.88655194526547787</v>
          </cell>
          <cell r="BF37">
            <v>0.97048064117264443</v>
          </cell>
          <cell r="BL37">
            <v>0.9982370566840929</v>
          </cell>
          <cell r="BQ37">
            <v>0.20717460909607727</v>
          </cell>
          <cell r="BR37">
            <v>0.9949787944625732</v>
          </cell>
          <cell r="BS37">
            <v>0.99183887363161261</v>
          </cell>
          <cell r="BT37">
            <v>0.99844260514633909</v>
          </cell>
          <cell r="BU37">
            <v>3.797503751763056E-2</v>
          </cell>
          <cell r="BV37">
            <v>0.88655194526547787</v>
          </cell>
          <cell r="BW37">
            <v>0.97048064117264443</v>
          </cell>
          <cell r="BX37">
            <v>0.9982370566840929</v>
          </cell>
        </row>
        <row r="38">
          <cell r="H38">
            <v>0.8</v>
          </cell>
          <cell r="P38">
            <v>0.16578376955956653</v>
          </cell>
          <cell r="T38">
            <v>0.99512000575729365</v>
          </cell>
          <cell r="AB38">
            <v>0.98894356162890718</v>
          </cell>
          <cell r="AK38">
            <v>0.99822031825376578</v>
          </cell>
          <cell r="AT38">
            <v>2.3802305225405402E-2</v>
          </cell>
          <cell r="AZ38">
            <v>0.87143170494907007</v>
          </cell>
          <cell r="BF38">
            <v>0.96633533231309754</v>
          </cell>
          <cell r="BL38">
            <v>0.99798546147862832</v>
          </cell>
          <cell r="BQ38">
            <v>0.16578376955956653</v>
          </cell>
          <cell r="BR38">
            <v>0.99426354050908261</v>
          </cell>
          <cell r="BS38">
            <v>0.99068060468238062</v>
          </cell>
          <cell r="BT38">
            <v>0.99822031825364443</v>
          </cell>
          <cell r="BU38">
            <v>2.3802305225405402E-2</v>
          </cell>
          <cell r="BV38">
            <v>0.87143170494907007</v>
          </cell>
          <cell r="BW38">
            <v>0.96633533231309754</v>
          </cell>
          <cell r="BX38">
            <v>0.99798546147862832</v>
          </cell>
        </row>
        <row r="39">
          <cell r="H39">
            <v>1</v>
          </cell>
          <cell r="P39">
            <v>0.10622797512108281</v>
          </cell>
          <cell r="T39">
            <v>0.99390373273715915</v>
          </cell>
          <cell r="AB39">
            <v>0.98620735703892859</v>
          </cell>
          <cell r="AK39">
            <v>0.99777589292308777</v>
          </cell>
          <cell r="AT39">
            <v>9.3510555476345077E-3</v>
          </cell>
          <cell r="AZ39">
            <v>0.84196045824304178</v>
          </cell>
          <cell r="BF39">
            <v>0.95809775775273376</v>
          </cell>
          <cell r="BL39">
            <v>0.99748246128753404</v>
          </cell>
          <cell r="BQ39">
            <v>0.10622797512108281</v>
          </cell>
          <cell r="BR39">
            <v>0.99283457474239634</v>
          </cell>
          <cell r="BS39">
            <v>0.98836972799418377</v>
          </cell>
          <cell r="BT39">
            <v>0.99777589292292423</v>
          </cell>
          <cell r="BU39">
            <v>9.3510555476345077E-3</v>
          </cell>
          <cell r="BV39">
            <v>0.84196045824304178</v>
          </cell>
          <cell r="BW39">
            <v>0.95809775775273376</v>
          </cell>
          <cell r="BX39">
            <v>0.99748246128753404</v>
          </cell>
        </row>
        <row r="40">
          <cell r="H40">
            <v>2</v>
          </cell>
          <cell r="P40">
            <v>1.1540745537864357E-2</v>
          </cell>
          <cell r="T40">
            <v>0.98784462994885847</v>
          </cell>
          <cell r="AB40">
            <v>0.97269057403511094</v>
          </cell>
          <cell r="AK40">
            <v>0.99555673249810883</v>
          </cell>
          <cell r="AT40">
            <v>8.7512224022487598E-5</v>
          </cell>
          <cell r="AZ40">
            <v>0.70889741324483291</v>
          </cell>
          <cell r="BF40">
            <v>0.91795131341081604</v>
          </cell>
          <cell r="BL40">
            <v>0.99497126057623675</v>
          </cell>
          <cell r="BQ40">
            <v>1.1540745537864357E-2</v>
          </cell>
          <cell r="BR40">
            <v>0.98572049280391505</v>
          </cell>
          <cell r="BS40">
            <v>0.97692745541610759</v>
          </cell>
          <cell r="BT40">
            <v>0.99555673249823129</v>
          </cell>
          <cell r="BU40">
            <v>8.7512224022487598E-5</v>
          </cell>
          <cell r="BV40">
            <v>0.70889741324483291</v>
          </cell>
          <cell r="BW40">
            <v>0.91795131341081604</v>
          </cell>
          <cell r="BX40">
            <v>0.99497126057623675</v>
          </cell>
        </row>
        <row r="41">
          <cell r="H41">
            <v>3</v>
          </cell>
          <cell r="P41">
            <v>1.2568265659104484E-3</v>
          </cell>
          <cell r="T41">
            <v>0.98182246507052806</v>
          </cell>
          <cell r="AB41">
            <v>0.95944184079207728</v>
          </cell>
          <cell r="AK41">
            <v>0.99334250772387322</v>
          </cell>
          <cell r="AT41">
            <v>8.1898661316141287E-7</v>
          </cell>
          <cell r="AZ41">
            <v>0.59686359090292651</v>
          </cell>
          <cell r="BF41">
            <v>0.87948709510507983</v>
          </cell>
          <cell r="BL41">
            <v>0.99246638190994496</v>
          </cell>
          <cell r="BQ41">
            <v>1.2568265659104484E-3</v>
          </cell>
          <cell r="BR41">
            <v>0.97865738628784038</v>
          </cell>
          <cell r="BS41">
            <v>0.96566894797053571</v>
          </cell>
          <cell r="BT41">
            <v>0.99334250772380817</v>
          </cell>
          <cell r="BU41">
            <v>8.1898661316141287E-7</v>
          </cell>
          <cell r="BV41">
            <v>0.59686359090292651</v>
          </cell>
          <cell r="BW41">
            <v>0.87948709510507983</v>
          </cell>
          <cell r="BX41">
            <v>0.99246638190994496</v>
          </cell>
        </row>
        <row r="42">
          <cell r="H42">
            <v>4</v>
          </cell>
          <cell r="P42">
            <v>1.3690857574784457E-4</v>
          </cell>
          <cell r="T42">
            <v>0.97583701291879699</v>
          </cell>
          <cell r="AB42">
            <v>0.9464536381336216</v>
          </cell>
          <cell r="AK42">
            <v>0.99113320762238</v>
          </cell>
          <cell r="AT42">
            <v>7.6645563185908118E-9</v>
          </cell>
          <cell r="AZ42">
            <v>0.50253554250521548</v>
          </cell>
          <cell r="BF42">
            <v>0.84263461379264226</v>
          </cell>
          <cell r="BL42">
            <v>0.9899678093726656</v>
          </cell>
          <cell r="BQ42">
            <v>1.3690857574784457E-4</v>
          </cell>
          <cell r="BR42">
            <v>0.97164488993359299</v>
          </cell>
          <cell r="BS42">
            <v>0.95459009679945472</v>
          </cell>
          <cell r="BT42">
            <v>0.99113320762246904</v>
          </cell>
          <cell r="BU42">
            <v>7.6645563185908118E-9</v>
          </cell>
          <cell r="BV42">
            <v>0.50253554250521548</v>
          </cell>
          <cell r="BW42">
            <v>0.84263461379264226</v>
          </cell>
          <cell r="BX42">
            <v>0.9899678093726656</v>
          </cell>
        </row>
        <row r="43">
          <cell r="H43">
            <v>5</v>
          </cell>
          <cell r="P43">
            <v>1.491414452421806E-5</v>
          </cell>
          <cell r="T43">
            <v>0.96988804968307174</v>
          </cell>
          <cell r="AB43">
            <v>0.933718724473241</v>
          </cell>
          <cell r="AK43">
            <v>0.98892882124115067</v>
          </cell>
          <cell r="AT43">
            <v>7.1704299727405675E-11</v>
          </cell>
          <cell r="AZ43">
            <v>0.4231150556511068</v>
          </cell>
          <cell r="BF43">
            <v>0.80732633407957133</v>
          </cell>
          <cell r="BL43">
            <v>0.98747552708847475</v>
          </cell>
          <cell r="BQ43">
            <v>1.491414452421806E-5</v>
          </cell>
          <cell r="BR43">
            <v>0.96468264109784152</v>
          </cell>
          <cell r="BS43">
            <v>0.94368691387029435</v>
          </cell>
          <cell r="BT43">
            <v>0.98892882124115356</v>
          </cell>
          <cell r="BU43">
            <v>7.1704299727405675E-11</v>
          </cell>
          <cell r="BV43">
            <v>0.4231150556511068</v>
          </cell>
          <cell r="BW43">
            <v>0.80732633407957133</v>
          </cell>
          <cell r="BX43">
            <v>0.98747552708847475</v>
          </cell>
        </row>
        <row r="44">
          <cell r="H44">
            <v>7</v>
          </cell>
          <cell r="P44">
            <v>1.7698495073533008E-7</v>
          </cell>
          <cell r="T44">
            <v>0.95809870153099408</v>
          </cell>
          <cell r="AB44">
            <v>0.90898111027509043</v>
          </cell>
          <cell r="AK44">
            <v>0.9845347459481103</v>
          </cell>
          <cell r="AT44">
            <v>4.2624045015548035E-14</v>
          </cell>
          <cell r="AZ44">
            <v>0.2999451684560131</v>
          </cell>
          <cell r="BF44">
            <v>0.74108626871948169</v>
          </cell>
          <cell r="BL44">
            <v>0.98250976997540351</v>
          </cell>
          <cell r="BQ44">
            <v>1.7698495073533008E-7</v>
          </cell>
          <cell r="BR44">
            <v>0.95090744838234664</v>
          </cell>
          <cell r="BS44">
            <v>0.92239217846862942</v>
          </cell>
          <cell r="BT44">
            <v>0.98453474594811252</v>
          </cell>
          <cell r="BU44">
            <v>4.2624045015548035E-14</v>
          </cell>
          <cell r="BV44">
            <v>0.2999451684560131</v>
          </cell>
          <cell r="BW44">
            <v>0.74108626871948169</v>
          </cell>
          <cell r="BX44">
            <v>0.98250976997540351</v>
          </cell>
        </row>
        <row r="45">
          <cell r="H45">
            <v>9</v>
          </cell>
          <cell r="P45">
            <v>2.1000966622285555E-9</v>
          </cell>
          <cell r="T45">
            <v>0.94645265726836636</v>
          </cell>
          <cell r="AB45">
            <v>0.88517615184421672</v>
          </cell>
          <cell r="AK45">
            <v>0.98016019470692761</v>
          </cell>
          <cell r="AT45">
            <v>4.2624045015548035E-14</v>
          </cell>
          <cell r="AZ45">
            <v>0.21263035403375344</v>
          </cell>
          <cell r="BF45">
            <v>0.68028111372176903</v>
          </cell>
          <cell r="BL45">
            <v>0.97756898436089568</v>
          </cell>
          <cell r="BQ45">
            <v>2.1000966622285555E-9</v>
          </cell>
          <cell r="BR45">
            <v>0.93732895863036014</v>
          </cell>
          <cell r="BS45">
            <v>0.90175509116492347</v>
          </cell>
          <cell r="BT45">
            <v>0.98016019470690185</v>
          </cell>
          <cell r="BU45">
            <v>4.2624045015548035E-14</v>
          </cell>
          <cell r="BV45">
            <v>0.21263035403375344</v>
          </cell>
          <cell r="BW45">
            <v>0.68028111372176903</v>
          </cell>
          <cell r="BX45">
            <v>0.97756898436089568</v>
          </cell>
        </row>
        <row r="46">
          <cell r="H46">
            <v>12</v>
          </cell>
          <cell r="P46">
            <v>2.4816512481348498E-12</v>
          </cell>
          <cell r="T46">
            <v>0.92924848103177926</v>
          </cell>
          <cell r="AB46">
            <v>0.85111086187078311</v>
          </cell>
          <cell r="AK46">
            <v>0.97363478578117035</v>
          </cell>
          <cell r="AT46">
            <v>4.2624045015548035E-14</v>
          </cell>
          <cell r="AZ46">
            <v>0.1269113166435466</v>
          </cell>
          <cell r="BF46">
            <v>0.59829846056200708</v>
          </cell>
          <cell r="BL46">
            <v>0.97020435297603769</v>
          </cell>
          <cell r="BQ46">
            <v>2.4816512481348498E-12</v>
          </cell>
          <cell r="BR46">
            <v>0.9173239087450914</v>
          </cell>
          <cell r="BS46">
            <v>0.87197177098463063</v>
          </cell>
          <cell r="BT46">
            <v>0.97363478578118801</v>
          </cell>
          <cell r="BU46">
            <v>4.2624045015548035E-14</v>
          </cell>
          <cell r="BV46">
            <v>0.1269113166435466</v>
          </cell>
          <cell r="BW46">
            <v>0.59829846056200708</v>
          </cell>
          <cell r="BX46">
            <v>0.97020435297603769</v>
          </cell>
        </row>
        <row r="47">
          <cell r="H47">
            <v>15</v>
          </cell>
          <cell r="P47">
            <v>-2.434416304905343E-13</v>
          </cell>
          <cell r="T47">
            <v>0.9123570343096653</v>
          </cell>
          <cell r="AB47">
            <v>0.81888233000691513</v>
          </cell>
          <cell r="AK47">
            <v>0.96715281971508749</v>
          </cell>
          <cell r="AT47">
            <v>4.2624045015548035E-14</v>
          </cell>
          <cell r="AZ47">
            <v>7.5748744178085567E-2</v>
          </cell>
          <cell r="BF47">
            <v>0.52619577508552084</v>
          </cell>
          <cell r="BL47">
            <v>0.96289520391140737</v>
          </cell>
          <cell r="BQ47">
            <v>-2.434416304905343E-13</v>
          </cell>
          <cell r="BR47">
            <v>0.8977458189118166</v>
          </cell>
          <cell r="BS47">
            <v>0.84351757706824304</v>
          </cell>
          <cell r="BT47">
            <v>0.96715281971513523</v>
          </cell>
          <cell r="BU47">
            <v>4.2624045015548035E-14</v>
          </cell>
          <cell r="BV47">
            <v>7.5748744178085567E-2</v>
          </cell>
          <cell r="BW47">
            <v>0.52619577508552084</v>
          </cell>
          <cell r="BX47">
            <v>0.96289520391140737</v>
          </cell>
        </row>
        <row r="48">
          <cell r="H48">
            <v>18.999999999999982</v>
          </cell>
          <cell r="P48">
            <v>-4.1582898740505859E-14</v>
          </cell>
          <cell r="T48">
            <v>0.89031176307619619</v>
          </cell>
          <cell r="AB48">
            <v>0.77853344948711711</v>
          </cell>
          <cell r="AK48">
            <v>0.95857727646522684</v>
          </cell>
          <cell r="AT48">
            <v>4.2624045015548035E-14</v>
          </cell>
          <cell r="AZ48">
            <v>3.8066436249623081E-2</v>
          </cell>
          <cell r="BF48">
            <v>0.44339077371850821</v>
          </cell>
          <cell r="BL48">
            <v>0.95323525567162215</v>
          </cell>
          <cell r="BQ48">
            <v>-4.1582898740505859E-14</v>
          </cell>
          <cell r="BR48">
            <v>0.87229013740491534</v>
          </cell>
          <cell r="BS48">
            <v>0.80750727749916806</v>
          </cell>
          <cell r="BT48">
            <v>0.95857727646528734</v>
          </cell>
          <cell r="BU48">
            <v>4.2624045015548035E-14</v>
          </cell>
          <cell r="BV48">
            <v>3.8066436249623081E-2</v>
          </cell>
          <cell r="BW48">
            <v>0.44339077371850821</v>
          </cell>
          <cell r="BX48">
            <v>0.95323525567162215</v>
          </cell>
        </row>
        <row r="49">
          <cell r="H49">
            <v>23.999999999999979</v>
          </cell>
          <cell r="P49">
            <v>-4.1582898740505859E-14</v>
          </cell>
          <cell r="T49">
            <v>0.863502739499869</v>
          </cell>
          <cell r="AB49">
            <v>0.73191277670153942</v>
          </cell>
          <cell r="AK49">
            <v>0.94796469608327605</v>
          </cell>
          <cell r="AT49">
            <v>4.2624045015548035E-14</v>
          </cell>
          <cell r="AZ49">
            <v>1.6106482292198701E-2</v>
          </cell>
          <cell r="BF49">
            <v>0.35796104791086802</v>
          </cell>
          <cell r="BL49">
            <v>0.94129648653365205</v>
          </cell>
          <cell r="BQ49">
            <v>-4.1582898740505859E-14</v>
          </cell>
          <cell r="BR49">
            <v>0.84148315355537295</v>
          </cell>
          <cell r="BS49">
            <v>0.7653520115796244</v>
          </cell>
          <cell r="BT49">
            <v>0.94796469608325284</v>
          </cell>
          <cell r="BU49">
            <v>4.2624045015548035E-14</v>
          </cell>
          <cell r="BV49">
            <v>1.6106482292198701E-2</v>
          </cell>
          <cell r="BW49">
            <v>0.35796104791086802</v>
          </cell>
          <cell r="BX49">
            <v>0.94129648653365205</v>
          </cell>
        </row>
        <row r="50">
          <cell r="H50">
            <v>32.3333333333333</v>
          </cell>
          <cell r="P50">
            <v>-4.1582898740505859E-14</v>
          </cell>
          <cell r="T50">
            <v>0.82060293670436957</v>
          </cell>
          <cell r="AB50">
            <v>0.66242176384963758</v>
          </cell>
          <cell r="AK50">
            <v>0.93053751642792326</v>
          </cell>
          <cell r="AT50">
            <v>4.2624045015548035E-14</v>
          </cell>
          <cell r="AZ50">
            <v>3.8408867134087686E-3</v>
          </cell>
          <cell r="BF50">
            <v>0.2505634012103477</v>
          </cell>
          <cell r="BL50">
            <v>0.92172989394696159</v>
          </cell>
          <cell r="BQ50">
            <v>-4.1582898740505859E-14</v>
          </cell>
          <cell r="BR50">
            <v>0.79253697339269746</v>
          </cell>
          <cell r="BS50">
            <v>0.70139347607875013</v>
          </cell>
          <cell r="BT50">
            <v>0.9305375164277605</v>
          </cell>
          <cell r="BU50">
            <v>4.2624045015548035E-14</v>
          </cell>
          <cell r="BV50">
            <v>3.8408867134087686E-3</v>
          </cell>
          <cell r="BW50">
            <v>0.2505634012103477</v>
          </cell>
          <cell r="BX50">
            <v>0.92172989394696159</v>
          </cell>
        </row>
        <row r="51">
          <cell r="H51">
            <v>48.999999999999957</v>
          </cell>
          <cell r="P51">
            <v>-4.1582898740505859E-14</v>
          </cell>
          <cell r="T51">
            <v>0.74109137880579057</v>
          </cell>
          <cell r="AB51">
            <v>0.54812325801258877</v>
          </cell>
          <cell r="AK51">
            <v>0.89663839996429573</v>
          </cell>
          <cell r="AT51">
            <v>4.2624045015548035E-14</v>
          </cell>
          <cell r="AZ51">
            <v>2.184203480059912E-4</v>
          </cell>
          <cell r="BF51">
            <v>0.12276692142328167</v>
          </cell>
          <cell r="BL51">
            <v>0.88380843788711649</v>
          </cell>
          <cell r="BQ51">
            <v>-4.1582898740505859E-14</v>
          </cell>
          <cell r="BR51">
            <v>0.70302010381803548</v>
          </cell>
          <cell r="BS51">
            <v>0.59312434911740552</v>
          </cell>
          <cell r="BT51">
            <v>0.89663839996412309</v>
          </cell>
          <cell r="BU51">
            <v>4.2624045015548035E-14</v>
          </cell>
          <cell r="BV51">
            <v>2.184203480059912E-4</v>
          </cell>
          <cell r="BW51">
            <v>0.12276692142328167</v>
          </cell>
          <cell r="BX51">
            <v>0.88380843788711649</v>
          </cell>
        </row>
        <row r="52">
          <cell r="H52">
            <v>54.555555555555507</v>
          </cell>
          <cell r="P52">
            <v>-4.1582898740505859E-14</v>
          </cell>
          <cell r="T52">
            <v>0.71633800408657788</v>
          </cell>
          <cell r="AB52">
            <v>0.51590996084837615</v>
          </cell>
          <cell r="AK52">
            <v>0.88561537972532156</v>
          </cell>
          <cell r="AT52">
            <v>4.2624045015548035E-14</v>
          </cell>
          <cell r="AZ52">
            <v>8.3993747883630046E-5</v>
          </cell>
          <cell r="BF52">
            <v>9.6783786378545497E-2</v>
          </cell>
          <cell r="BL52">
            <v>0.8715178778107423</v>
          </cell>
          <cell r="BQ52">
            <v>-4.1582898740505859E-14</v>
          </cell>
          <cell r="BR52">
            <v>0.67548723842654723</v>
          </cell>
          <cell r="BS52">
            <v>0.5618857351474672</v>
          </cell>
          <cell r="BT52">
            <v>0.8856153797253512</v>
          </cell>
          <cell r="BU52">
            <v>4.2624045015548035E-14</v>
          </cell>
          <cell r="BV52">
            <v>8.3993747883630046E-5</v>
          </cell>
          <cell r="BW52">
            <v>9.6783786378545497E-2</v>
          </cell>
          <cell r="BX52">
            <v>0.8715178778107423</v>
          </cell>
        </row>
        <row r="53">
          <cell r="H53">
            <v>61.499999999999943</v>
          </cell>
          <cell r="P53">
            <v>-4.1582898740505859E-14</v>
          </cell>
          <cell r="T53">
            <v>0.68655570734399174</v>
          </cell>
          <cell r="AB53">
            <v>0.47904194847633313</v>
          </cell>
          <cell r="AK53">
            <v>0.87202697517966343</v>
          </cell>
          <cell r="AT53">
            <v>4.2624045015548035E-14</v>
          </cell>
          <cell r="AZ53">
            <v>2.5435442201868919E-5</v>
          </cell>
          <cell r="BF53">
            <v>7.18959062927194E-2</v>
          </cell>
          <cell r="BL53">
            <v>0.85639475045005853</v>
          </cell>
          <cell r="BQ53">
            <v>-4.1582898740505859E-14</v>
          </cell>
          <cell r="BR53">
            <v>0.64258251460849758</v>
          </cell>
          <cell r="BS53">
            <v>0.52572386828767204</v>
          </cell>
          <cell r="BT53">
            <v>0.87202697517961281</v>
          </cell>
          <cell r="BU53">
            <v>4.2624045015548035E-14</v>
          </cell>
          <cell r="BV53">
            <v>2.5435442201868919E-5</v>
          </cell>
          <cell r="BW53">
            <v>7.18959062927194E-2</v>
          </cell>
          <cell r="BX53">
            <v>0.85639475045005853</v>
          </cell>
        </row>
        <row r="54">
          <cell r="H54">
            <v>70.42857142857136</v>
          </cell>
          <cell r="P54">
            <v>-4.1582898740505859E-14</v>
          </cell>
          <cell r="T54">
            <v>0.65007635217605997</v>
          </cell>
          <cell r="AB54">
            <v>0.43649578106727005</v>
          </cell>
          <cell r="AK54">
            <v>0.85486207770569711</v>
          </cell>
          <cell r="AT54">
            <v>4.2624045015548035E-14</v>
          </cell>
          <cell r="AZ54">
            <v>5.4752110216024824E-6</v>
          </cell>
          <cell r="BF54">
            <v>4.905919824302369E-2</v>
          </cell>
          <cell r="BL54">
            <v>0.83733569590984191</v>
          </cell>
          <cell r="BQ54">
            <v>-4.1582898740505859E-14</v>
          </cell>
          <cell r="BR54">
            <v>0.60262066104340439</v>
          </cell>
          <cell r="BS54">
            <v>0.48343231665654679</v>
          </cell>
          <cell r="BT54">
            <v>0.85486207770574307</v>
          </cell>
          <cell r="BU54">
            <v>4.2624045015548035E-14</v>
          </cell>
          <cell r="BV54">
            <v>5.4752110216024824E-6</v>
          </cell>
          <cell r="BW54">
            <v>4.905919824302369E-2</v>
          </cell>
          <cell r="BX54">
            <v>0.83733569590984191</v>
          </cell>
        </row>
        <row r="55">
          <cell r="H55">
            <v>82.333333333333258</v>
          </cell>
          <cell r="P55">
            <v>-4.1582898740505859E-14</v>
          </cell>
          <cell r="T55">
            <v>0.60443436710060705</v>
          </cell>
          <cell r="AB55">
            <v>0.38697455555065008</v>
          </cell>
          <cell r="AK55">
            <v>0.83249997348638161</v>
          </cell>
          <cell r="AT55">
            <v>4.2624045015548035E-14</v>
          </cell>
          <cell r="AZ55">
            <v>7.0634404542058682E-7</v>
          </cell>
          <cell r="BF55">
            <v>2.9471946813848186E-2</v>
          </cell>
          <cell r="BL55">
            <v>0.8125817884708646</v>
          </cell>
          <cell r="BQ55">
            <v>-4.1582898740505859E-14</v>
          </cell>
          <cell r="BR55">
            <v>0.553177069441255</v>
          </cell>
          <cell r="BS55">
            <v>0.43342093681623406</v>
          </cell>
          <cell r="BT55">
            <v>0.83249997348633364</v>
          </cell>
          <cell r="BU55">
            <v>4.2624045015548035E-14</v>
          </cell>
          <cell r="BV55">
            <v>7.0634404542058682E-7</v>
          </cell>
          <cell r="BW55">
            <v>2.9471946813848186E-2</v>
          </cell>
          <cell r="BX55">
            <v>0.8125817884708646</v>
          </cell>
        </row>
        <row r="56">
          <cell r="H56">
            <v>98.999999999999915</v>
          </cell>
          <cell r="P56">
            <v>-4.1582898740505859E-14</v>
          </cell>
          <cell r="T56">
            <v>0.545868261587235</v>
          </cell>
          <cell r="AB56">
            <v>0.32887250930729761</v>
          </cell>
          <cell r="AK56">
            <v>0.8021723262298518</v>
          </cell>
          <cell r="AT56">
            <v>4.2624045015548035E-14</v>
          </cell>
          <cell r="AZ56">
            <v>4.016778513352863E-8</v>
          </cell>
          <cell r="BF56">
            <v>1.4440178259112063E-2</v>
          </cell>
          <cell r="BL56">
            <v>0.77915086170057435</v>
          </cell>
          <cell r="BQ56">
            <v>-4.1582898740505859E-14</v>
          </cell>
          <cell r="BR56">
            <v>0.49069584618060813</v>
          </cell>
          <cell r="BS56">
            <v>0.3736071781128254</v>
          </cell>
          <cell r="BT56">
            <v>0.80217232622981138</v>
          </cell>
          <cell r="BU56">
            <v>4.2624045015548035E-14</v>
          </cell>
          <cell r="BV56">
            <v>4.016778513352863E-8</v>
          </cell>
          <cell r="BW56">
            <v>1.4440178259112063E-2</v>
          </cell>
          <cell r="BX56">
            <v>0.77915086170057435</v>
          </cell>
        </row>
        <row r="57">
          <cell r="H57">
            <v>123.99999999999989</v>
          </cell>
          <cell r="P57">
            <v>-4.1582898740505859E-14</v>
          </cell>
          <cell r="T57">
            <v>0.46848521043524199</v>
          </cell>
          <cell r="AB57">
            <v>0.26036669379011546</v>
          </cell>
          <cell r="AK57">
            <v>0.7587397653711706</v>
          </cell>
          <cell r="AT57">
            <v>4.2624045015548035E-14</v>
          </cell>
          <cell r="AZ57">
            <v>5.4471621859368002E-10</v>
          </cell>
          <cell r="BF57">
            <v>4.9524277572123151E-3</v>
          </cell>
          <cell r="BL57">
            <v>0.73156557557528568</v>
          </cell>
          <cell r="BQ57">
            <v>-4.1582898740505859E-14</v>
          </cell>
          <cell r="BR57">
            <v>0.40995359594239256</v>
          </cell>
          <cell r="BS57">
            <v>0.30138575493892472</v>
          </cell>
          <cell r="BT57">
            <v>0.75873976537110721</v>
          </cell>
          <cell r="BU57">
            <v>4.2624045015548035E-14</v>
          </cell>
          <cell r="BV57">
            <v>5.4471621859368002E-10</v>
          </cell>
          <cell r="BW57">
            <v>4.9524277572123151E-3</v>
          </cell>
          <cell r="BX57">
            <v>0.73156557557528568</v>
          </cell>
        </row>
        <row r="58">
          <cell r="H58">
            <v>165.66666666666652</v>
          </cell>
          <cell r="P58">
            <v>-4.1582898740505859E-14</v>
          </cell>
          <cell r="T58">
            <v>0.36311368833867297</v>
          </cell>
          <cell r="AB58">
            <v>0.1800748913117203</v>
          </cell>
          <cell r="AK58">
            <v>0.69151477464267375</v>
          </cell>
          <cell r="AT58">
            <v>4.2624045015548035E-14</v>
          </cell>
          <cell r="AZ58">
            <v>4.2003409723530054E-13</v>
          </cell>
          <cell r="BF58">
            <v>8.3219954369904688E-4</v>
          </cell>
          <cell r="BL58">
            <v>0.65862685942534926</v>
          </cell>
          <cell r="BQ58">
            <v>-4.1582898740505859E-14</v>
          </cell>
          <cell r="BR58">
            <v>0.30381221513005241</v>
          </cell>
          <cell r="BS58">
            <v>0.21411429170380669</v>
          </cell>
          <cell r="BT58">
            <v>0.69151477464251432</v>
          </cell>
          <cell r="BU58">
            <v>4.2624045015548035E-14</v>
          </cell>
          <cell r="BV58">
            <v>4.2003409723530054E-13</v>
          </cell>
          <cell r="BW58">
            <v>8.3219954369904688E-4</v>
          </cell>
          <cell r="BX58">
            <v>0.65862685942534926</v>
          </cell>
        </row>
        <row r="59">
          <cell r="H59">
            <v>221.22222222222476</v>
          </cell>
          <cell r="P59">
            <v>-4.1582898740505859E-14</v>
          </cell>
          <cell r="T59">
            <v>0.25852642166922507</v>
          </cell>
          <cell r="AB59">
            <v>0.11308553232788419</v>
          </cell>
          <cell r="AK59">
            <v>0.61105404070477232</v>
          </cell>
          <cell r="AT59">
            <v>4.2624045015548035E-14</v>
          </cell>
          <cell r="AZ59">
            <v>0</v>
          </cell>
          <cell r="BF59">
            <v>7.7168472845509035E-5</v>
          </cell>
          <cell r="BL59">
            <v>0.57256000277844055</v>
          </cell>
          <cell r="BQ59">
            <v>-4.1582898740505859E-14</v>
          </cell>
          <cell r="BR59">
            <v>0.20375077649690798</v>
          </cell>
          <cell r="BS59">
            <v>0.138698195367956</v>
          </cell>
          <cell r="BT59">
            <v>0.61105404070468994</v>
          </cell>
          <cell r="BU59">
            <v>4.2624045015548035E-14</v>
          </cell>
          <cell r="BV59">
            <v>0</v>
          </cell>
          <cell r="BW59">
            <v>7.7168472845509035E-5</v>
          </cell>
          <cell r="BX59">
            <v>0.57256000277844055</v>
          </cell>
        </row>
        <row r="60">
          <cell r="H60">
            <v>321.58064516129122</v>
          </cell>
          <cell r="P60">
            <v>-4.1582898740505859E-14</v>
          </cell>
          <cell r="T60">
            <v>0.13995397713668109</v>
          </cell>
          <cell r="AB60">
            <v>5.0799475439157901E-2</v>
          </cell>
          <cell r="AK60">
            <v>0.48869029003683562</v>
          </cell>
          <cell r="AT60">
            <v>4.2624045015548035E-14</v>
          </cell>
          <cell r="AZ60">
            <v>0</v>
          </cell>
          <cell r="BF60">
            <v>1.0513786129003864E-6</v>
          </cell>
          <cell r="BL60">
            <v>0.44458566241136244</v>
          </cell>
          <cell r="BQ60">
            <v>-4.1582898740505859E-14</v>
          </cell>
          <cell r="BR60">
            <v>9.9007741459077717E-2</v>
          </cell>
          <cell r="BS60">
            <v>6.5609654404534382E-2</v>
          </cell>
          <cell r="BT60">
            <v>0.4886902900369583</v>
          </cell>
          <cell r="BU60">
            <v>4.2624045015548035E-14</v>
          </cell>
          <cell r="BV60">
            <v>0</v>
          </cell>
          <cell r="BW60">
            <v>1.0513786129003864E-6</v>
          </cell>
          <cell r="BX60">
            <v>0.44458566241136244</v>
          </cell>
        </row>
        <row r="61">
          <cell r="H61">
            <v>415.66666666667402</v>
          </cell>
          <cell r="P61">
            <v>-4.1582898740505859E-14</v>
          </cell>
          <cell r="T61">
            <v>7.8726878960086122E-2</v>
          </cell>
          <cell r="AB61">
            <v>2.4421033574301473E-2</v>
          </cell>
          <cell r="AK61">
            <v>0.39632655203853201</v>
          </cell>
          <cell r="AT61">
            <v>4.2624045015548035E-14</v>
          </cell>
          <cell r="AZ61">
            <v>0</v>
          </cell>
          <cell r="BF61">
            <v>1.8736282201303584E-8</v>
          </cell>
          <cell r="BL61">
            <v>0.35071674075316073</v>
          </cell>
          <cell r="BQ61">
            <v>-4.1582898740505859E-14</v>
          </cell>
          <cell r="BR61">
            <v>5.0330172295331717E-2</v>
          </cell>
          <cell r="BS61">
            <v>3.3185746952691685E-2</v>
          </cell>
          <cell r="BT61">
            <v>0.39632655203848821</v>
          </cell>
          <cell r="BU61">
            <v>4.2624045015548035E-14</v>
          </cell>
          <cell r="BV61">
            <v>0</v>
          </cell>
          <cell r="BW61">
            <v>1.8736282201303584E-8</v>
          </cell>
          <cell r="BX61">
            <v>0.35071674075316073</v>
          </cell>
        </row>
        <row r="62">
          <cell r="H62">
            <v>475.19047619047831</v>
          </cell>
          <cell r="P62">
            <v>-4.1582898740505859E-14</v>
          </cell>
          <cell r="T62">
            <v>5.4707509281077725E-2</v>
          </cell>
          <cell r="AB62">
            <v>1.5365997112102341E-2</v>
          </cell>
          <cell r="AK62">
            <v>0.34713152104869432</v>
          </cell>
          <cell r="AT62">
            <v>4.2624045015548035E-14</v>
          </cell>
          <cell r="AZ62">
            <v>0</v>
          </cell>
          <cell r="BF62">
            <v>1.4659707711500455E-9</v>
          </cell>
          <cell r="BL62">
            <v>0.30185188447079708</v>
          </cell>
          <cell r="BQ62">
            <v>-4.1582898740505859E-14</v>
          </cell>
          <cell r="BR62">
            <v>3.2804179201000754E-2</v>
          </cell>
          <cell r="BS62">
            <v>2.1645533673746123E-2</v>
          </cell>
          <cell r="BT62">
            <v>0.34713152104871092</v>
          </cell>
          <cell r="BU62">
            <v>4.2624045015548035E-14</v>
          </cell>
          <cell r="BV62">
            <v>0</v>
          </cell>
          <cell r="BW62">
            <v>1.4659707711500455E-9</v>
          </cell>
          <cell r="BX62">
            <v>0.30185188447079708</v>
          </cell>
        </row>
        <row r="63">
          <cell r="H63">
            <v>554.55555555554815</v>
          </cell>
          <cell r="P63">
            <v>-4.1582898740505859E-14</v>
          </cell>
          <cell r="T63">
            <v>3.3672768152430005E-2</v>
          </cell>
          <cell r="AB63">
            <v>8.2299659608580742E-3</v>
          </cell>
          <cell r="AK63">
            <v>0.29090324177128252</v>
          </cell>
          <cell r="AT63">
            <v>4.2624045015548035E-14</v>
          </cell>
          <cell r="AZ63">
            <v>0</v>
          </cell>
          <cell r="BF63">
            <v>4.9058526957489191E-11</v>
          </cell>
          <cell r="BL63">
            <v>0.24712143553938892</v>
          </cell>
          <cell r="BQ63">
            <v>-4.1582898740505859E-14</v>
          </cell>
          <cell r="BR63">
            <v>1.85380274290044E-2</v>
          </cell>
          <cell r="BS63">
            <v>1.2252227065686735E-2</v>
          </cell>
          <cell r="BT63">
            <v>0.29090324177139409</v>
          </cell>
          <cell r="BU63">
            <v>4.2624045015548035E-14</v>
          </cell>
          <cell r="BV63">
            <v>0</v>
          </cell>
          <cell r="BW63">
            <v>4.9058526957489191E-11</v>
          </cell>
          <cell r="BX63">
            <v>0.24712143553938892</v>
          </cell>
        </row>
        <row r="64">
          <cell r="H64">
            <v>665.66666666669073</v>
          </cell>
          <cell r="P64">
            <v>-4.1582898740505859E-14</v>
          </cell>
          <cell r="T64">
            <v>1.7068818030938415E-2</v>
          </cell>
          <cell r="AB64">
            <v>3.3470870432014206E-3</v>
          </cell>
          <cell r="AK64">
            <v>0.22714588554081472</v>
          </cell>
          <cell r="AT64">
            <v>4.2624045015548035E-14</v>
          </cell>
          <cell r="AZ64">
            <v>0</v>
          </cell>
          <cell r="BF64">
            <v>4.2183445397172177E-13</v>
          </cell>
          <cell r="BL64">
            <v>0.18675556650063765</v>
          </cell>
          <cell r="BQ64">
            <v>-4.1582898740505859E-14</v>
          </cell>
          <cell r="BR64">
            <v>8.3378024882680927E-3</v>
          </cell>
          <cell r="BS64">
            <v>5.5001241027066248E-3</v>
          </cell>
          <cell r="BT64">
            <v>0.22714588554071624</v>
          </cell>
          <cell r="BU64">
            <v>4.2624045015548035E-14</v>
          </cell>
          <cell r="BV64">
            <v>0</v>
          </cell>
          <cell r="BW64">
            <v>4.2183445397172177E-13</v>
          </cell>
          <cell r="BX64">
            <v>0.18675556650063765</v>
          </cell>
        </row>
        <row r="65">
          <cell r="H65">
            <v>832.33333333334804</v>
          </cell>
          <cell r="P65">
            <v>-4.1582898740505859E-14</v>
          </cell>
          <cell r="T65">
            <v>6.1601372850359623E-3</v>
          </cell>
          <cell r="AB65">
            <v>7.7738704260960512E-4</v>
          </cell>
          <cell r="AK65">
            <v>0.15672538481897261</v>
          </cell>
          <cell r="AT65">
            <v>4.2624045015548035E-14</v>
          </cell>
          <cell r="AZ65">
            <v>0</v>
          </cell>
          <cell r="BF65">
            <v>3.3600729364176671E-16</v>
          </cell>
          <cell r="BL65">
            <v>0.12269256936312441</v>
          </cell>
          <cell r="BQ65">
            <v>-4.1582898740505859E-14</v>
          </cell>
          <cell r="BR65">
            <v>2.5149753165135537E-3</v>
          </cell>
          <cell r="BS65">
            <v>1.6178492872695465E-3</v>
          </cell>
          <cell r="BT65">
            <v>0.15672538481911902</v>
          </cell>
          <cell r="BU65">
            <v>4.2624045015548035E-14</v>
          </cell>
          <cell r="BV65">
            <v>0</v>
          </cell>
          <cell r="BW65">
            <v>3.3600729364176671E-16</v>
          </cell>
          <cell r="BX65">
            <v>0.12269256936312441</v>
          </cell>
        </row>
        <row r="66">
          <cell r="H66">
            <v>1110.1111111110963</v>
          </cell>
          <cell r="P66">
            <v>-4.1582898740505859E-14</v>
          </cell>
          <cell r="T66">
            <v>1.126943030009282E-3</v>
          </cell>
          <cell r="AB66">
            <v>1.3205022418841138E-5</v>
          </cell>
          <cell r="AK66">
            <v>8.4436481687622994E-2</v>
          </cell>
          <cell r="AT66">
            <v>4.2624045015548035E-14</v>
          </cell>
          <cell r="AZ66">
            <v>0</v>
          </cell>
          <cell r="BF66">
            <v>0</v>
          </cell>
          <cell r="BL66">
            <v>6.0915260321590677E-2</v>
          </cell>
          <cell r="BQ66">
            <v>-4.1582898740505859E-14</v>
          </cell>
          <cell r="BR66">
            <v>3.4119600194234222E-4</v>
          </cell>
          <cell r="BS66">
            <v>1.8671304863684393E-4</v>
          </cell>
          <cell r="BT66">
            <v>8.4436481687586218E-2</v>
          </cell>
          <cell r="BU66">
            <v>4.2624045015548035E-14</v>
          </cell>
          <cell r="BV66">
            <v>0</v>
          </cell>
          <cell r="BW66">
            <v>0</v>
          </cell>
          <cell r="BX66">
            <v>6.0915260321590677E-2</v>
          </cell>
        </row>
        <row r="67">
          <cell r="H67">
            <v>1665.6666666665419</v>
          </cell>
          <cell r="P67">
            <v>-4.1582898740505859E-14</v>
          </cell>
          <cell r="T67">
            <v>3.7715954540490941E-5</v>
          </cell>
          <cell r="AB67">
            <v>-8.1416617684763338E-6</v>
          </cell>
          <cell r="AK67">
            <v>2.450821584648348E-2</v>
          </cell>
          <cell r="AT67">
            <v>4.2624045015548035E-14</v>
          </cell>
          <cell r="AZ67">
            <v>0</v>
          </cell>
          <cell r="BF67">
            <v>0</v>
          </cell>
          <cell r="BL67">
            <v>1.5015568892066799E-2</v>
          </cell>
          <cell r="BQ67">
            <v>-4.1582898740505859E-14</v>
          </cell>
          <cell r="BR67">
            <v>6.2797788056222063E-6</v>
          </cell>
          <cell r="BS67">
            <v>-1.0010211424085751E-6</v>
          </cell>
          <cell r="BT67">
            <v>2.4508215846566136E-2</v>
          </cell>
          <cell r="BU67">
            <v>4.2624045015548035E-14</v>
          </cell>
          <cell r="BV67">
            <v>0</v>
          </cell>
          <cell r="BW67">
            <v>0</v>
          </cell>
          <cell r="BX67">
            <v>1.5015568892066799E-2</v>
          </cell>
        </row>
        <row r="68">
          <cell r="H68">
            <v>2856.142857143172</v>
          </cell>
          <cell r="P68">
            <v>-4.1582898740505859E-14</v>
          </cell>
          <cell r="T68">
            <v>2.6001791081681174E-8</v>
          </cell>
          <cell r="AB68">
            <v>-1.8225923560205217E-8</v>
          </cell>
          <cell r="AK68">
            <v>1.7303316107723187E-3</v>
          </cell>
          <cell r="AT68">
            <v>4.2624045015548035E-14</v>
          </cell>
          <cell r="AZ68">
            <v>0</v>
          </cell>
          <cell r="BF68">
            <v>0</v>
          </cell>
          <cell r="BL68">
            <v>7.4694683303823763E-4</v>
          </cell>
          <cell r="BQ68">
            <v>-4.1582898740505859E-14</v>
          </cell>
          <cell r="BR68">
            <v>1.2021521261457602E-9</v>
          </cell>
          <cell r="BS68">
            <v>-1.1339181415905396E-8</v>
          </cell>
          <cell r="BT68">
            <v>1.7303316108097362E-3</v>
          </cell>
          <cell r="BU68">
            <v>4.2624045015548035E-14</v>
          </cell>
          <cell r="BV68">
            <v>0</v>
          </cell>
          <cell r="BW68">
            <v>0</v>
          </cell>
          <cell r="BX68">
            <v>7.4694683303823763E-4</v>
          </cell>
        </row>
        <row r="69">
          <cell r="H69">
            <v>4999.0000000005502</v>
          </cell>
          <cell r="P69">
            <v>-4.1582898740505859E-14</v>
          </cell>
          <cell r="T69">
            <v>5.2958696105544096E-14</v>
          </cell>
          <cell r="AB69">
            <v>-7.3242955611211995E-14</v>
          </cell>
          <cell r="AK69">
            <v>1.4655515526474102E-5</v>
          </cell>
          <cell r="AT69">
            <v>4.2624045015548035E-14</v>
          </cell>
          <cell r="AZ69">
            <v>0</v>
          </cell>
          <cell r="BF69">
            <v>0</v>
          </cell>
          <cell r="BL69">
            <v>3.368495015985338E-6</v>
          </cell>
          <cell r="BQ69">
            <v>-4.1582898740505859E-14</v>
          </cell>
          <cell r="BR69">
            <v>0</v>
          </cell>
          <cell r="BS69">
            <v>-3.6621477805605997E-14</v>
          </cell>
          <cell r="BT69">
            <v>1.4655515545157623E-5</v>
          </cell>
          <cell r="BU69">
            <v>4.2624045015548035E-14</v>
          </cell>
          <cell r="BV69">
            <v>0</v>
          </cell>
          <cell r="BW69">
            <v>0</v>
          </cell>
          <cell r="BX69">
            <v>3.368495015985338E-6</v>
          </cell>
        </row>
        <row r="70">
          <cell r="H70">
            <v>9999.0000000011005</v>
          </cell>
          <cell r="P70">
            <v>-4.1582898740505859E-14</v>
          </cell>
          <cell r="T70">
            <v>0</v>
          </cell>
          <cell r="AB70">
            <v>0</v>
          </cell>
          <cell r="AK70">
            <v>2.1428826492415678E-10</v>
          </cell>
          <cell r="AT70">
            <v>4.2624045015548035E-14</v>
          </cell>
          <cell r="AZ70">
            <v>0</v>
          </cell>
          <cell r="BF70">
            <v>0</v>
          </cell>
          <cell r="BL70">
            <v>1.1318228830350255E-11</v>
          </cell>
          <cell r="BQ70">
            <v>-4.1582898740505859E-14</v>
          </cell>
          <cell r="BR70">
            <v>0</v>
          </cell>
          <cell r="BS70">
            <v>1.8310738902802999E-14</v>
          </cell>
          <cell r="BT70">
            <v>2.1426919274441519E-10</v>
          </cell>
          <cell r="BU70">
            <v>4.2624045015548035E-14</v>
          </cell>
          <cell r="BV70">
            <v>0</v>
          </cell>
          <cell r="BW70">
            <v>0</v>
          </cell>
          <cell r="BX70">
            <v>1.1318228830350255E-11</v>
          </cell>
        </row>
        <row r="71">
          <cell r="H71">
            <v>15000</v>
          </cell>
          <cell r="P71">
            <v>-4.1582898740505859E-14</v>
          </cell>
          <cell r="T71">
            <v>0</v>
          </cell>
          <cell r="AB71">
            <v>0</v>
          </cell>
          <cell r="AK71">
            <v>-3.812980336615903E-14</v>
          </cell>
          <cell r="AT71">
            <v>4.2624045015548035E-14</v>
          </cell>
          <cell r="AZ71">
            <v>0</v>
          </cell>
          <cell r="BF71">
            <v>0</v>
          </cell>
          <cell r="BL71">
            <v>0</v>
          </cell>
          <cell r="BQ71">
            <v>-4.1582898740505859E-14</v>
          </cell>
          <cell r="BR71">
            <v>0</v>
          </cell>
          <cell r="BS71">
            <v>1.8310738902802999E-14</v>
          </cell>
          <cell r="BT71">
            <v>-2.8089707213532728E-14</v>
          </cell>
          <cell r="BU71">
            <v>4.2624045015548035E-14</v>
          </cell>
          <cell r="BV71">
            <v>0</v>
          </cell>
          <cell r="BW71">
            <v>0</v>
          </cell>
          <cell r="BX71">
            <v>0</v>
          </cell>
        </row>
        <row r="72">
          <cell r="H72">
            <v>30000</v>
          </cell>
          <cell r="P72">
            <v>-4.1582898740505859E-14</v>
          </cell>
          <cell r="T72">
            <v>0</v>
          </cell>
          <cell r="AB72">
            <v>0</v>
          </cell>
          <cell r="AK72">
            <v>-3.812980336615903E-14</v>
          </cell>
          <cell r="AT72">
            <v>4.2624045015548035E-14</v>
          </cell>
          <cell r="AZ72">
            <v>0</v>
          </cell>
          <cell r="BF72">
            <v>0</v>
          </cell>
          <cell r="BL72">
            <v>0</v>
          </cell>
          <cell r="BQ72">
            <v>-4.1582898740505859E-14</v>
          </cell>
          <cell r="BR72">
            <v>0</v>
          </cell>
          <cell r="BS72">
            <v>1.8310738902802999E-14</v>
          </cell>
          <cell r="BT72">
            <v>-2.8089707213532728E-14</v>
          </cell>
          <cell r="BU72">
            <v>4.2624045015548035E-14</v>
          </cell>
          <cell r="BV72">
            <v>0</v>
          </cell>
          <cell r="BW72">
            <v>0</v>
          </cell>
          <cell r="BX72">
            <v>0</v>
          </cell>
        </row>
        <row r="73">
          <cell r="H73">
            <v>45000</v>
          </cell>
          <cell r="P73">
            <v>-4.1582898740505859E-14</v>
          </cell>
          <cell r="T73">
            <v>0</v>
          </cell>
          <cell r="AB73">
            <v>0</v>
          </cell>
          <cell r="AK73">
            <v>-3.812980336615903E-14</v>
          </cell>
          <cell r="AT73">
            <v>4.2624045015548035E-14</v>
          </cell>
          <cell r="AZ73">
            <v>0</v>
          </cell>
          <cell r="BF73">
            <v>0</v>
          </cell>
          <cell r="BL73">
            <v>0</v>
          </cell>
          <cell r="BQ73">
            <v>-4.1582898740505859E-14</v>
          </cell>
          <cell r="BR73">
            <v>0</v>
          </cell>
          <cell r="BS73">
            <v>1.8310738902802999E-14</v>
          </cell>
          <cell r="BT73">
            <v>-2.8089707213532728E-14</v>
          </cell>
          <cell r="BU73">
            <v>4.2624045015548035E-14</v>
          </cell>
          <cell r="BV73">
            <v>0</v>
          </cell>
          <cell r="BW73">
            <v>0</v>
          </cell>
          <cell r="BX73">
            <v>0</v>
          </cell>
        </row>
        <row r="74">
          <cell r="H74">
            <v>60000</v>
          </cell>
          <cell r="P74">
            <v>-4.1582898740505859E-14</v>
          </cell>
          <cell r="T74">
            <v>0</v>
          </cell>
          <cell r="AB74">
            <v>0</v>
          </cell>
          <cell r="AK74">
            <v>-3.812980336615903E-14</v>
          </cell>
          <cell r="AT74">
            <v>4.2624045015548035E-14</v>
          </cell>
          <cell r="AZ74">
            <v>0</v>
          </cell>
          <cell r="BF74">
            <v>0</v>
          </cell>
          <cell r="BL74">
            <v>0</v>
          </cell>
          <cell r="BQ74">
            <v>-4.1582898740505859E-14</v>
          </cell>
          <cell r="BR74">
            <v>0</v>
          </cell>
          <cell r="BS74">
            <v>1.8310738902802999E-14</v>
          </cell>
          <cell r="BT74">
            <v>-2.8089707213532728E-14</v>
          </cell>
          <cell r="BU74">
            <v>4.2624045015548035E-14</v>
          </cell>
          <cell r="BV74">
            <v>0</v>
          </cell>
          <cell r="BW74">
            <v>0</v>
          </cell>
          <cell r="BX74">
            <v>0</v>
          </cell>
        </row>
        <row r="75">
          <cell r="H75">
            <v>75000</v>
          </cell>
          <cell r="P75">
            <v>-4.1582898740505859E-14</v>
          </cell>
          <cell r="T75">
            <v>0</v>
          </cell>
          <cell r="AB75">
            <v>0</v>
          </cell>
          <cell r="AK75">
            <v>-3.812980336615903E-14</v>
          </cell>
          <cell r="AT75">
            <v>4.2624045015548035E-14</v>
          </cell>
          <cell r="AZ75">
            <v>0</v>
          </cell>
          <cell r="BF75">
            <v>0</v>
          </cell>
          <cell r="BL75">
            <v>0</v>
          </cell>
          <cell r="BQ75">
            <v>-4.1582898740505859E-14</v>
          </cell>
          <cell r="BR75">
            <v>0</v>
          </cell>
          <cell r="BS75">
            <v>1.8310738902802999E-14</v>
          </cell>
          <cell r="BT75">
            <v>-2.8089707213532728E-14</v>
          </cell>
          <cell r="BU75">
            <v>4.2624045015548035E-14</v>
          </cell>
          <cell r="BV75">
            <v>0</v>
          </cell>
          <cell r="BW75">
            <v>0</v>
          </cell>
          <cell r="BX75">
            <v>0</v>
          </cell>
        </row>
        <row r="76">
          <cell r="H76">
            <v>90000</v>
          </cell>
          <cell r="P76">
            <v>-4.1582898740505859E-14</v>
          </cell>
          <cell r="T76">
            <v>0</v>
          </cell>
          <cell r="AB76">
            <v>0</v>
          </cell>
          <cell r="AK76">
            <v>-3.812980336615903E-14</v>
          </cell>
          <cell r="AT76">
            <v>4.2624045015548035E-14</v>
          </cell>
          <cell r="AZ76">
            <v>0</v>
          </cell>
          <cell r="BF76">
            <v>0</v>
          </cell>
          <cell r="BL76">
            <v>0</v>
          </cell>
          <cell r="BQ76">
            <v>-4.1582898740505859E-14</v>
          </cell>
          <cell r="BR76">
            <v>0</v>
          </cell>
          <cell r="BS76">
            <v>1.8310738902802999E-14</v>
          </cell>
          <cell r="BT76">
            <v>-2.8089707213532728E-14</v>
          </cell>
          <cell r="BU76">
            <v>4.2624045015548035E-14</v>
          </cell>
          <cell r="BV76">
            <v>0</v>
          </cell>
          <cell r="BW76">
            <v>0</v>
          </cell>
          <cell r="BX76">
            <v>0</v>
          </cell>
        </row>
        <row r="77">
          <cell r="H77">
            <v>105000</v>
          </cell>
          <cell r="P77">
            <v>-4.1582898740505859E-14</v>
          </cell>
          <cell r="T77">
            <v>0</v>
          </cell>
          <cell r="AB77">
            <v>0</v>
          </cell>
          <cell r="AK77">
            <v>-3.812980336615903E-14</v>
          </cell>
          <cell r="AT77">
            <v>4.2624045015548035E-14</v>
          </cell>
          <cell r="AZ77">
            <v>0</v>
          </cell>
          <cell r="BF77">
            <v>0</v>
          </cell>
          <cell r="BL77">
            <v>0</v>
          </cell>
          <cell r="BQ77">
            <v>-4.1582898740505859E-14</v>
          </cell>
          <cell r="BR77">
            <v>0</v>
          </cell>
          <cell r="BS77">
            <v>1.8310738902802999E-14</v>
          </cell>
          <cell r="BT77">
            <v>-2.8089707213532728E-14</v>
          </cell>
          <cell r="BU77">
            <v>4.2624045015548035E-14</v>
          </cell>
          <cell r="BV77">
            <v>0</v>
          </cell>
          <cell r="BW77">
            <v>0</v>
          </cell>
          <cell r="BX77">
            <v>0</v>
          </cell>
        </row>
        <row r="78">
          <cell r="H78">
            <v>120000</v>
          </cell>
          <cell r="P78">
            <v>-4.1582898740505859E-14</v>
          </cell>
          <cell r="T78">
            <v>0</v>
          </cell>
          <cell r="AB78">
            <v>0</v>
          </cell>
          <cell r="AK78">
            <v>-3.812980336615903E-14</v>
          </cell>
          <cell r="AT78">
            <v>4.2624045015548035E-14</v>
          </cell>
          <cell r="AZ78">
            <v>0</v>
          </cell>
          <cell r="BF78">
            <v>0</v>
          </cell>
          <cell r="BL78">
            <v>0</v>
          </cell>
          <cell r="BQ78">
            <v>-4.1582898740505859E-14</v>
          </cell>
          <cell r="BR78">
            <v>0</v>
          </cell>
          <cell r="BS78">
            <v>1.8310738902802999E-14</v>
          </cell>
          <cell r="BT78">
            <v>-2.8089707213532728E-14</v>
          </cell>
          <cell r="BU78">
            <v>4.2624045015548035E-14</v>
          </cell>
          <cell r="BV78">
            <v>0</v>
          </cell>
          <cell r="BW78">
            <v>0</v>
          </cell>
          <cell r="BX78">
            <v>0</v>
          </cell>
        </row>
        <row r="79">
          <cell r="H79">
            <v>135000</v>
          </cell>
          <cell r="P79">
            <v>-4.1582898740505859E-14</v>
          </cell>
          <cell r="T79">
            <v>0</v>
          </cell>
          <cell r="AB79">
            <v>0</v>
          </cell>
          <cell r="AK79">
            <v>-3.812980336615903E-14</v>
          </cell>
          <cell r="AT79">
            <v>4.2624045015548035E-14</v>
          </cell>
          <cell r="AZ79">
            <v>0</v>
          </cell>
          <cell r="BF79">
            <v>0</v>
          </cell>
          <cell r="BL79">
            <v>0</v>
          </cell>
          <cell r="BQ79">
            <v>-4.1582898740505859E-14</v>
          </cell>
          <cell r="BR79">
            <v>0</v>
          </cell>
          <cell r="BS79">
            <v>1.8310738902802999E-14</v>
          </cell>
          <cell r="BT79">
            <v>-2.8089707213532728E-14</v>
          </cell>
          <cell r="BU79">
            <v>4.2624045015548035E-14</v>
          </cell>
          <cell r="BV79">
            <v>0</v>
          </cell>
          <cell r="BW79">
            <v>0</v>
          </cell>
          <cell r="BX79">
            <v>0</v>
          </cell>
        </row>
        <row r="80">
          <cell r="H80">
            <v>200000</v>
          </cell>
          <cell r="P80">
            <v>-4.1582898740505859E-14</v>
          </cell>
          <cell r="T80">
            <v>0</v>
          </cell>
          <cell r="AB80">
            <v>0</v>
          </cell>
          <cell r="AK80">
            <v>-3.812980336615903E-14</v>
          </cell>
          <cell r="AT80">
            <v>4.2624045015548035E-14</v>
          </cell>
          <cell r="AZ80">
            <v>0</v>
          </cell>
          <cell r="BF80">
            <v>0</v>
          </cell>
          <cell r="BL80">
            <v>0</v>
          </cell>
          <cell r="BQ80">
            <v>-4.1582898740505859E-14</v>
          </cell>
          <cell r="BR80">
            <v>0</v>
          </cell>
          <cell r="BS80">
            <v>1.8310738902802999E-14</v>
          </cell>
          <cell r="BT80">
            <v>-2.8089707213532728E-14</v>
          </cell>
          <cell r="BU80">
            <v>4.2624045015548035E-14</v>
          </cell>
          <cell r="BV80">
            <v>0</v>
          </cell>
          <cell r="BW80">
            <v>0</v>
          </cell>
          <cell r="BX80">
            <v>0</v>
          </cell>
        </row>
        <row r="81">
          <cell r="H81">
            <v>300000</v>
          </cell>
          <cell r="P81">
            <v>-4.1582898740505859E-14</v>
          </cell>
          <cell r="T81">
            <v>0</v>
          </cell>
          <cell r="AB81">
            <v>0</v>
          </cell>
          <cell r="AK81">
            <v>-3.812980336615903E-14</v>
          </cell>
          <cell r="AT81">
            <v>4.2624045015548035E-14</v>
          </cell>
          <cell r="AZ81">
            <v>0</v>
          </cell>
          <cell r="BF81">
            <v>0</v>
          </cell>
          <cell r="BL81">
            <v>0</v>
          </cell>
          <cell r="BQ81">
            <v>-4.1582898740505859E-14</v>
          </cell>
          <cell r="BR81">
            <v>0</v>
          </cell>
          <cell r="BS81">
            <v>1.8310738902802999E-14</v>
          </cell>
          <cell r="BT81">
            <v>-2.8089707213532728E-14</v>
          </cell>
          <cell r="BU81">
            <v>4.2624045015548035E-14</v>
          </cell>
          <cell r="BV81">
            <v>0</v>
          </cell>
          <cell r="BW81">
            <v>0</v>
          </cell>
          <cell r="BX81">
            <v>0</v>
          </cell>
        </row>
        <row r="82">
          <cell r="H82">
            <v>400000</v>
          </cell>
          <cell r="P82">
            <v>-4.1582898740505859E-14</v>
          </cell>
          <cell r="T82">
            <v>0</v>
          </cell>
          <cell r="AB82">
            <v>0</v>
          </cell>
          <cell r="AK82">
            <v>-3.812980336615903E-14</v>
          </cell>
          <cell r="AT82">
            <v>4.2624045015548035E-14</v>
          </cell>
          <cell r="AZ82">
            <v>0</v>
          </cell>
          <cell r="BF82">
            <v>0</v>
          </cell>
          <cell r="BL82">
            <v>0</v>
          </cell>
          <cell r="BQ82">
            <v>-4.1582898740505859E-14</v>
          </cell>
          <cell r="BR82">
            <v>0</v>
          </cell>
          <cell r="BS82">
            <v>1.8310738902802999E-14</v>
          </cell>
          <cell r="BT82">
            <v>-2.8089707213532728E-14</v>
          </cell>
          <cell r="BU82">
            <v>4.2624045015548035E-14</v>
          </cell>
          <cell r="BV82">
            <v>0</v>
          </cell>
          <cell r="BW82">
            <v>0</v>
          </cell>
          <cell r="BX82">
            <v>0</v>
          </cell>
        </row>
        <row r="83">
          <cell r="H83">
            <v>500000</v>
          </cell>
          <cell r="P83">
            <v>-4.1582898740505859E-14</v>
          </cell>
          <cell r="T83">
            <v>0</v>
          </cell>
          <cell r="AB83">
            <v>0</v>
          </cell>
          <cell r="AK83">
            <v>-3.812980336615903E-14</v>
          </cell>
          <cell r="AT83">
            <v>4.2624045015548035E-14</v>
          </cell>
          <cell r="AZ83">
            <v>0</v>
          </cell>
          <cell r="BF83">
            <v>0</v>
          </cell>
          <cell r="BL83">
            <v>0</v>
          </cell>
          <cell r="BQ83">
            <v>-4.1582898740505859E-14</v>
          </cell>
          <cell r="BR83">
            <v>0</v>
          </cell>
          <cell r="BS83">
            <v>1.8310738902802999E-14</v>
          </cell>
          <cell r="BT83">
            <v>-2.8089707213532728E-14</v>
          </cell>
          <cell r="BU83">
            <v>4.2624045015548035E-14</v>
          </cell>
          <cell r="BV83">
            <v>0</v>
          </cell>
          <cell r="BW83">
            <v>0</v>
          </cell>
          <cell r="BX83">
            <v>0</v>
          </cell>
        </row>
        <row r="84">
          <cell r="H84">
            <v>600000</v>
          </cell>
          <cell r="P84">
            <v>-4.1582898740505859E-14</v>
          </cell>
          <cell r="T84">
            <v>0</v>
          </cell>
          <cell r="AB84">
            <v>0</v>
          </cell>
          <cell r="AK84">
            <v>-3.812980336615903E-14</v>
          </cell>
          <cell r="AT84">
            <v>4.2624045015548035E-14</v>
          </cell>
          <cell r="AZ84">
            <v>0</v>
          </cell>
          <cell r="BF84">
            <v>0</v>
          </cell>
          <cell r="BL84">
            <v>0</v>
          </cell>
          <cell r="BQ84">
            <v>-4.1582898740505859E-14</v>
          </cell>
          <cell r="BR84">
            <v>0</v>
          </cell>
          <cell r="BS84">
            <v>1.8310738902802999E-14</v>
          </cell>
          <cell r="BT84">
            <v>-2.8089707213532728E-14</v>
          </cell>
          <cell r="BU84">
            <v>4.2624045015548035E-14</v>
          </cell>
          <cell r="BV84">
            <v>0</v>
          </cell>
          <cell r="BW84">
            <v>0</v>
          </cell>
          <cell r="BX84">
            <v>0</v>
          </cell>
        </row>
        <row r="85">
          <cell r="H85">
            <v>700000</v>
          </cell>
          <cell r="P85">
            <v>-4.1582898740505859E-14</v>
          </cell>
          <cell r="T85">
            <v>0</v>
          </cell>
          <cell r="AB85">
            <v>0</v>
          </cell>
          <cell r="AK85">
            <v>-3.812980336615903E-14</v>
          </cell>
          <cell r="AT85">
            <v>4.2624045015548035E-14</v>
          </cell>
          <cell r="AZ85">
            <v>0</v>
          </cell>
          <cell r="BF85">
            <v>0</v>
          </cell>
          <cell r="BL85">
            <v>0</v>
          </cell>
          <cell r="BQ85">
            <v>-4.1582898740505859E-14</v>
          </cell>
          <cell r="BR85">
            <v>0</v>
          </cell>
          <cell r="BS85">
            <v>1.8310738902802999E-14</v>
          </cell>
          <cell r="BT85">
            <v>-2.8089707213532728E-14</v>
          </cell>
          <cell r="BU85">
            <v>4.2624045015548035E-14</v>
          </cell>
          <cell r="BV85">
            <v>0</v>
          </cell>
          <cell r="BW85">
            <v>0</v>
          </cell>
          <cell r="BX85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6DEA5-CA80-1949-BF21-E1AAC64B6822}">
  <dimension ref="A1:CK85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M28" sqref="M28"/>
    </sheetView>
  </sheetViews>
  <sheetFormatPr baseColWidth="10" defaultRowHeight="16" x14ac:dyDescent="0.2"/>
  <cols>
    <col min="1" max="1" width="15.33203125" customWidth="1"/>
    <col min="4" max="4" width="20.5" customWidth="1"/>
    <col min="17" max="17" width="6" style="7" customWidth="1"/>
    <col min="23" max="23" width="5.33203125" style="7" customWidth="1"/>
    <col min="29" max="29" width="4.83203125" style="7" customWidth="1"/>
    <col min="38" max="38" width="5.33203125" style="7" customWidth="1"/>
    <col min="47" max="47" width="6.5" style="7" customWidth="1"/>
    <col min="53" max="53" width="5.5" style="7" customWidth="1"/>
    <col min="59" max="59" width="6.1640625" style="7" customWidth="1"/>
    <col min="65" max="65" width="6.1640625" style="7" customWidth="1"/>
  </cols>
  <sheetData>
    <row r="1" spans="1:72" s="2" customFormat="1" ht="34" customHeight="1" x14ac:dyDescent="0.2">
      <c r="A1" s="1" t="s">
        <v>0</v>
      </c>
      <c r="B1" s="1"/>
      <c r="C1" s="1"/>
      <c r="G1"/>
      <c r="H1"/>
      <c r="I1" s="3" t="s">
        <v>1</v>
      </c>
      <c r="J1" s="3" t="s">
        <v>2</v>
      </c>
      <c r="K1" s="3"/>
      <c r="L1" s="3" t="s">
        <v>3</v>
      </c>
      <c r="M1" s="3" t="s">
        <v>4</v>
      </c>
      <c r="N1" s="3" t="s">
        <v>5</v>
      </c>
      <c r="O1" s="3" t="s">
        <v>6</v>
      </c>
      <c r="P1" s="3"/>
      <c r="Q1" s="4"/>
      <c r="R1" s="3" t="s">
        <v>7</v>
      </c>
      <c r="S1" s="3" t="s">
        <v>8</v>
      </c>
      <c r="T1" s="5"/>
      <c r="U1" s="2" t="s">
        <v>9</v>
      </c>
      <c r="V1" s="2" t="s">
        <v>10</v>
      </c>
      <c r="W1" s="6"/>
      <c r="X1" s="2" t="s">
        <v>11</v>
      </c>
      <c r="Y1" s="2" t="s">
        <v>12</v>
      </c>
      <c r="Z1" s="3" t="s">
        <v>13</v>
      </c>
      <c r="AA1" s="2" t="s">
        <v>14</v>
      </c>
      <c r="AB1"/>
      <c r="AC1" s="7"/>
      <c r="AD1" s="8" t="s">
        <v>15</v>
      </c>
      <c r="AE1" s="8" t="s">
        <v>16</v>
      </c>
      <c r="AF1"/>
      <c r="AG1" s="2" t="s">
        <v>17</v>
      </c>
      <c r="AH1" s="2" t="s">
        <v>18</v>
      </c>
      <c r="AI1" s="2" t="s">
        <v>19</v>
      </c>
      <c r="AJ1" s="2" t="s">
        <v>20</v>
      </c>
      <c r="AK1"/>
      <c r="AL1" s="7"/>
      <c r="AM1" s="8" t="s">
        <v>21</v>
      </c>
      <c r="AN1" s="8" t="s">
        <v>22</v>
      </c>
      <c r="AO1"/>
      <c r="AP1" s="2" t="s">
        <v>23</v>
      </c>
      <c r="AQ1" s="2" t="s">
        <v>24</v>
      </c>
      <c r="AR1" s="2" t="s">
        <v>25</v>
      </c>
      <c r="AS1" s="2" t="s">
        <v>26</v>
      </c>
      <c r="AT1"/>
      <c r="AU1" s="7"/>
      <c r="AV1" s="3" t="s">
        <v>27</v>
      </c>
      <c r="AW1" s="3" t="s">
        <v>28</v>
      </c>
      <c r="AX1" s="2" t="s">
        <v>29</v>
      </c>
      <c r="AY1" s="2" t="s">
        <v>30</v>
      </c>
      <c r="AZ1"/>
      <c r="BA1" s="7"/>
      <c r="BB1" s="3" t="s">
        <v>31</v>
      </c>
      <c r="BC1" s="3" t="s">
        <v>32</v>
      </c>
      <c r="BD1" s="2" t="s">
        <v>33</v>
      </c>
      <c r="BE1" s="2" t="s">
        <v>34</v>
      </c>
      <c r="BF1"/>
      <c r="BG1" s="7"/>
      <c r="BH1" s="3" t="s">
        <v>35</v>
      </c>
      <c r="BI1" s="3" t="s">
        <v>36</v>
      </c>
      <c r="BJ1" s="9" t="s">
        <v>37</v>
      </c>
      <c r="BK1" s="9" t="s">
        <v>38</v>
      </c>
      <c r="BL1"/>
      <c r="BM1" s="6"/>
      <c r="BN1" s="3"/>
      <c r="BO1" s="5"/>
      <c r="BP1"/>
      <c r="BQ1"/>
      <c r="BR1"/>
      <c r="BS1"/>
      <c r="BT1"/>
    </row>
    <row r="2" spans="1:72" ht="15" customHeight="1" x14ac:dyDescent="0.2">
      <c r="A2" s="10" t="s">
        <v>39</v>
      </c>
      <c r="B2" s="11" t="s">
        <v>40</v>
      </c>
      <c r="C2" s="11">
        <v>0.01</v>
      </c>
      <c r="F2" s="12" t="s">
        <v>41</v>
      </c>
      <c r="G2" s="13">
        <f>BC4/BB14*AM14/AN4</f>
        <v>4.1152263374485592E-3</v>
      </c>
      <c r="R2" s="5" t="s">
        <v>42</v>
      </c>
      <c r="S2" s="5" t="s">
        <v>42</v>
      </c>
      <c r="T2" s="5"/>
      <c r="U2" s="14" t="s">
        <v>43</v>
      </c>
      <c r="V2" s="14" t="s">
        <v>43</v>
      </c>
      <c r="W2" s="15"/>
      <c r="X2" s="5"/>
      <c r="Y2" s="5"/>
      <c r="Z2" s="5"/>
      <c r="AA2" s="5"/>
      <c r="BJ2" s="14" t="s">
        <v>43</v>
      </c>
      <c r="BK2" s="14" t="s">
        <v>43</v>
      </c>
      <c r="BO2" s="5"/>
    </row>
    <row r="3" spans="1:72" ht="15" customHeight="1" x14ac:dyDescent="0.2">
      <c r="A3" s="10" t="s">
        <v>44</v>
      </c>
      <c r="B3" s="11" t="s">
        <v>45</v>
      </c>
      <c r="C3" s="16">
        <f>10*10^-6</f>
        <v>9.9999999999999991E-6</v>
      </c>
      <c r="F3" s="12" t="s">
        <v>46</v>
      </c>
      <c r="G3" s="13">
        <f>BB7*BD4/(1+BB7*BD4)</f>
        <v>5.5524708495280406E-2</v>
      </c>
      <c r="H3" s="17"/>
      <c r="R3" s="5"/>
      <c r="S3" s="5"/>
      <c r="T3" s="5"/>
      <c r="U3" s="5"/>
      <c r="V3" s="5"/>
      <c r="W3" s="15"/>
      <c r="X3" s="5"/>
      <c r="Y3" s="5"/>
      <c r="Z3" s="5"/>
      <c r="AA3" s="5"/>
      <c r="AI3" t="s">
        <v>47</v>
      </c>
      <c r="AJ3" t="s">
        <v>47</v>
      </c>
      <c r="BJ3" s="18"/>
      <c r="BK3" s="18"/>
      <c r="BO3" s="5"/>
    </row>
    <row r="4" spans="1:72" ht="15" customHeight="1" x14ac:dyDescent="0.2">
      <c r="A4" s="10" t="s">
        <v>48</v>
      </c>
      <c r="B4" s="12"/>
      <c r="C4" s="11">
        <v>0.4</v>
      </c>
      <c r="F4" s="19" t="s">
        <v>49</v>
      </c>
      <c r="I4" s="20">
        <v>420</v>
      </c>
      <c r="J4" s="21">
        <f>(1-G2)*AN4*40/12-AW4</f>
        <v>389353.90946502058</v>
      </c>
      <c r="K4" s="22"/>
      <c r="L4" s="23">
        <f>(N4/1000+1)*L$15</f>
        <v>2.1199202511241196E-2</v>
      </c>
      <c r="M4" s="23">
        <f>(O4/1000+1)*L$15</f>
        <v>2.1175871723084751E-2</v>
      </c>
      <c r="N4" s="24">
        <v>-0.5</v>
      </c>
      <c r="O4" s="24">
        <v>-1.6</v>
      </c>
      <c r="R4" s="25">
        <v>0.185</v>
      </c>
      <c r="S4" s="24">
        <v>0.6</v>
      </c>
      <c r="T4" s="5"/>
      <c r="U4" s="20">
        <f>R4/$I$4*40/R14*10^6</f>
        <v>2538.7676684506655</v>
      </c>
      <c r="V4" s="26">
        <f>S4/$J$4*40/R14*10^6</f>
        <v>8.8819276560900544</v>
      </c>
      <c r="W4" s="27"/>
      <c r="X4" s="28">
        <f>(Z4/1000+1)*X$15</f>
        <v>12.550213024954351</v>
      </c>
      <c r="Y4" s="28">
        <f>(AA4/1000+1)*X$15</f>
        <v>12.440657334144857</v>
      </c>
      <c r="Z4" s="26">
        <v>31</v>
      </c>
      <c r="AA4" s="26">
        <v>22</v>
      </c>
      <c r="AD4" s="20">
        <f>16/(16+2)*10^6</f>
        <v>888888.88888888888</v>
      </c>
      <c r="AE4" s="24">
        <f>3*16/(40+3*16+12)*10^6</f>
        <v>480000</v>
      </c>
      <c r="AG4" s="29">
        <f>(AI4/1000+1)*AG$15</f>
        <v>2.0062176E-3</v>
      </c>
      <c r="AH4" s="29">
        <f>(AJ4/1000+1)*AG$15</f>
        <v>2.0682335999999998E-3</v>
      </c>
      <c r="AI4" s="24">
        <v>-29.5</v>
      </c>
      <c r="AJ4" s="24">
        <v>0.5</v>
      </c>
      <c r="AM4" s="20">
        <v>35</v>
      </c>
      <c r="AN4" s="24">
        <f>12/(40+3*16+12)*10^6</f>
        <v>120000</v>
      </c>
      <c r="AO4" s="5"/>
      <c r="AP4" s="23">
        <f>(AR4/1000+1)*AP$15</f>
        <v>1.1254055799999999E-2</v>
      </c>
      <c r="AQ4" s="23">
        <f>(AS4/1000+1)*AP$15</f>
        <v>1.1293385999999997E-2</v>
      </c>
      <c r="AR4" s="26">
        <v>1.5</v>
      </c>
      <c r="AS4" s="26">
        <v>5</v>
      </c>
      <c r="AV4" s="24">
        <v>8</v>
      </c>
      <c r="AW4" s="20">
        <v>9000</v>
      </c>
      <c r="AX4" s="26">
        <f>AV4/$I4*40/AV$14*10^3</f>
        <v>8.6955576569819897</v>
      </c>
      <c r="AY4" s="26">
        <f>AW4/$J4*40/AV$14*10^3</f>
        <v>10.552484238746572</v>
      </c>
      <c r="BB4" s="24">
        <v>1250</v>
      </c>
      <c r="BC4" s="24">
        <v>1000</v>
      </c>
      <c r="BD4" s="28">
        <f>BB4/$I4*40/BB$14</f>
        <v>4.8990789731530473</v>
      </c>
      <c r="BE4" s="28">
        <f>BC4/$J4*40/BB$14</f>
        <v>4.2277488294420427E-3</v>
      </c>
      <c r="BH4" s="24">
        <v>4.8</v>
      </c>
      <c r="BI4" s="24">
        <v>11</v>
      </c>
      <c r="BJ4" s="20">
        <f>BH4/$I4*40/BH$14*10^6</f>
        <v>41558.441558441562</v>
      </c>
      <c r="BK4" s="26">
        <f>BI4/$J4*40/BH$14*10^6</f>
        <v>102.73429655544165</v>
      </c>
      <c r="BO4" s="5"/>
    </row>
    <row r="5" spans="1:72" ht="15" customHeight="1" x14ac:dyDescent="0.2">
      <c r="A5" s="10" t="s">
        <v>50</v>
      </c>
      <c r="B5" s="12"/>
      <c r="C5" s="30">
        <f>2.7*(1-C4)/(1.0125*C4)</f>
        <v>4</v>
      </c>
      <c r="D5" s="31"/>
      <c r="E5" s="31"/>
      <c r="F5" s="19" t="s">
        <v>51</v>
      </c>
      <c r="I5" s="20">
        <f>I4</f>
        <v>420</v>
      </c>
      <c r="J5" s="20">
        <f>I8*I4</f>
        <v>378526.80732926162</v>
      </c>
      <c r="K5" s="32"/>
      <c r="L5" s="23">
        <f>(N5/1000+1)*L$15</f>
        <v>2.1199202511241196E-2</v>
      </c>
      <c r="M5" s="23">
        <f>(O5/1000+1)*L$15</f>
        <v>2.1199202511241196E-2</v>
      </c>
      <c r="N5" s="26">
        <f>N4</f>
        <v>-0.5</v>
      </c>
      <c r="O5" s="26">
        <f>N16*(N5+1000)-1000</f>
        <v>-0.5</v>
      </c>
      <c r="R5" s="25">
        <f>R4</f>
        <v>0.185</v>
      </c>
      <c r="S5" s="25">
        <f>R8*R4</f>
        <v>0.28344447834536374</v>
      </c>
      <c r="T5" s="5"/>
      <c r="U5" s="20">
        <f>U4</f>
        <v>2538.7676684506655</v>
      </c>
      <c r="V5" s="26">
        <f>R7*R4/$I$4*10^6*40/R14</f>
        <v>4.3159050363661313</v>
      </c>
      <c r="W5" s="27"/>
      <c r="X5" s="28">
        <f>(Z5/1000+1)*X$15</f>
        <v>12.550213024954351</v>
      </c>
      <c r="Y5" s="28">
        <f>(AA5/1000+1)*X$15</f>
        <v>12.53766908494473</v>
      </c>
      <c r="Z5" s="26">
        <f>Z4</f>
        <v>31</v>
      </c>
      <c r="AA5" s="26">
        <f>Z16*(Z5+1000)-1000</f>
        <v>29.969515328209582</v>
      </c>
      <c r="AD5" s="20">
        <f>AD4</f>
        <v>888888.88888888888</v>
      </c>
      <c r="AE5" s="20">
        <f>AD8*AD4</f>
        <v>480000</v>
      </c>
      <c r="AG5" s="29">
        <f>(AI5/1000+1)*AG$15</f>
        <v>2.0062176E-3</v>
      </c>
      <c r="AH5" s="29">
        <f>(AJ5/1000+1)*AG$15</f>
        <v>2.0712190502400001E-3</v>
      </c>
      <c r="AI5" s="20">
        <f>AI4</f>
        <v>-29.5</v>
      </c>
      <c r="AJ5" s="26">
        <f>AI16*(AI5+1000)-1000</f>
        <v>1.9442000000000235</v>
      </c>
      <c r="AM5" s="20">
        <f>AM4</f>
        <v>35</v>
      </c>
      <c r="AN5" s="20">
        <f>AM8*AM4</f>
        <v>120000</v>
      </c>
      <c r="AO5" s="5"/>
      <c r="AP5" s="23">
        <f>(AR5/1000+1)*AP$15</f>
        <v>1.1254055799999999E-2</v>
      </c>
      <c r="AQ5" s="23">
        <f>(AS5/1000+1)*AP$15</f>
        <v>1.1265287385142925E-2</v>
      </c>
      <c r="AR5" s="26">
        <f>AR4</f>
        <v>1.5</v>
      </c>
      <c r="AS5" s="26">
        <f>AR4+AR17</f>
        <v>2.4995003330834233</v>
      </c>
      <c r="AV5" s="26">
        <f>AV4</f>
        <v>8</v>
      </c>
      <c r="AW5" s="20">
        <f>AV8*AV4</f>
        <v>360.50172126596345</v>
      </c>
      <c r="AX5" s="26">
        <f>AX4</f>
        <v>8.6955576569819897</v>
      </c>
      <c r="AY5" s="26">
        <f>AV7*AV4/$I$4*10^3*40/AV14</f>
        <v>0.43477788284909946</v>
      </c>
      <c r="BB5" s="20">
        <f>BB4</f>
        <v>1250</v>
      </c>
      <c r="BC5" s="20">
        <f>BB8*BB4</f>
        <v>13518.81454747363</v>
      </c>
      <c r="BD5" s="28">
        <f>BD4</f>
        <v>4.8990789731530473</v>
      </c>
      <c r="BE5" s="28">
        <f>BB7*BB4/$I$4*40/BB14</f>
        <v>5.8788947677836559E-2</v>
      </c>
      <c r="BH5" s="26">
        <f>BH4</f>
        <v>4.8</v>
      </c>
      <c r="BI5" s="26">
        <f>BH8*BH4</f>
        <v>3.0282144586340931</v>
      </c>
      <c r="BJ5" s="20">
        <f>BJ4</f>
        <v>41558.441558441562</v>
      </c>
      <c r="BK5" s="26">
        <f>BH7*BH4/$I$4*40/BH14*10^6</f>
        <v>29.09090909090909</v>
      </c>
      <c r="BO5" s="5"/>
    </row>
    <row r="6" spans="1:72" ht="15" customHeight="1" x14ac:dyDescent="0.2">
      <c r="A6" s="10" t="s">
        <v>52</v>
      </c>
      <c r="B6" s="33" t="s">
        <v>53</v>
      </c>
      <c r="C6" s="33">
        <v>20</v>
      </c>
      <c r="F6" s="19" t="s">
        <v>54</v>
      </c>
      <c r="I6" s="20">
        <f>J6/I8</f>
        <v>432.01337080748215</v>
      </c>
      <c r="J6" s="20">
        <f>J4</f>
        <v>389353.90946502058</v>
      </c>
      <c r="K6" s="32"/>
      <c r="L6" s="23">
        <f>(N6/1000+1)*L$15</f>
        <v>2.1175871723084751E-2</v>
      </c>
      <c r="M6" s="23">
        <f>(O6/1000+1)*L$15</f>
        <v>2.1175871723084751E-2</v>
      </c>
      <c r="N6" s="26">
        <f>O6-N17</f>
        <v>-1.6</v>
      </c>
      <c r="O6" s="26">
        <f>O4</f>
        <v>-1.6</v>
      </c>
      <c r="R6" s="25">
        <f>S6/R8</f>
        <v>0.39161108605104566</v>
      </c>
      <c r="S6" s="25">
        <f>S4</f>
        <v>0.6</v>
      </c>
      <c r="T6" s="5"/>
      <c r="U6" s="20">
        <f>R6/$I$6*40/R14*10^6</f>
        <v>5224.6633271117971</v>
      </c>
      <c r="V6" s="26">
        <f>S6/$J$6*40/R14*10^6</f>
        <v>8.8819276560900544</v>
      </c>
      <c r="W6" s="27"/>
      <c r="X6" s="28">
        <f>(Z6/1000+1)*X$15</f>
        <v>12.452830188679243</v>
      </c>
      <c r="Y6" s="28">
        <f>(AA6/1000+1)*X$15</f>
        <v>12.440657334144857</v>
      </c>
      <c r="Z6" s="26">
        <f>AA6-Z17</f>
        <v>23</v>
      </c>
      <c r="AA6" s="26">
        <f>AA4</f>
        <v>22</v>
      </c>
      <c r="AD6" s="20">
        <f>AE6/AD8</f>
        <v>888888.88888888888</v>
      </c>
      <c r="AE6" s="20">
        <f>AE4</f>
        <v>480000</v>
      </c>
      <c r="AG6" s="29">
        <f>(AI6/1000+1)*AG$15</f>
        <v>2.0033258426966289E-3</v>
      </c>
      <c r="AH6" s="29">
        <f>(AJ6/1000+1)*AG$15</f>
        <v>2.0682335999999998E-3</v>
      </c>
      <c r="AI6" s="26">
        <f>AI85</f>
        <v>-30.898876404494512</v>
      </c>
      <c r="AJ6" s="26">
        <f>AJ4</f>
        <v>0.5</v>
      </c>
      <c r="AM6" s="20">
        <f>AN6/AM8</f>
        <v>35</v>
      </c>
      <c r="AN6" s="20">
        <f>AN4</f>
        <v>120000</v>
      </c>
      <c r="AO6" s="5"/>
      <c r="AP6" s="23">
        <f>(AR6/1000+1)*AP$15</f>
        <v>1.1282154414857073E-2</v>
      </c>
      <c r="AQ6" s="23">
        <f>(AS6/1000+1)*AP$15</f>
        <v>1.1293385999999997E-2</v>
      </c>
      <c r="AR6" s="26">
        <f>AS6-AR17</f>
        <v>4.0004996669165767</v>
      </c>
      <c r="AS6" s="26">
        <f>AS4</f>
        <v>5</v>
      </c>
      <c r="AV6" s="20">
        <f>AW6/AV8</f>
        <v>199.72165388603329</v>
      </c>
      <c r="AW6" s="20">
        <f>AW4</f>
        <v>9000</v>
      </c>
      <c r="AX6" s="26">
        <f>AV6/$I6*40/AV$14*10^3</f>
        <v>211.04968477493145</v>
      </c>
      <c r="AY6" s="26">
        <f>AW6/$J6*40/AV$14*10^3</f>
        <v>10.552484238746572</v>
      </c>
      <c r="BB6" s="20">
        <f>BC6/BB8</f>
        <v>92.463728650941334</v>
      </c>
      <c r="BC6" s="20">
        <f>BC4</f>
        <v>1000</v>
      </c>
      <c r="BD6" s="28">
        <f>BB6/$I6*40/BB$14</f>
        <v>0.35231240245350348</v>
      </c>
      <c r="BE6" s="28">
        <f>BC6/$J6*40/BB$14</f>
        <v>4.2277488294420427E-3</v>
      </c>
      <c r="BH6" s="20">
        <f>BI6/BH8</f>
        <v>17.436017402748938</v>
      </c>
      <c r="BI6" s="20">
        <f>BI4</f>
        <v>11</v>
      </c>
      <c r="BJ6" s="20">
        <f>BH6/$I6*40/BH$14*10^6</f>
        <v>146763.28079348803</v>
      </c>
      <c r="BK6" s="26">
        <f>BI6/$J6*40/BH$14*10^6</f>
        <v>102.73429655544165</v>
      </c>
      <c r="BO6" s="5"/>
    </row>
    <row r="7" spans="1:72" ht="15" customHeight="1" x14ac:dyDescent="0.2">
      <c r="A7" s="10" t="s">
        <v>55</v>
      </c>
      <c r="B7" s="33"/>
      <c r="C7" s="34">
        <f>1-2*LN(C4)</f>
        <v>2.8325814637483102</v>
      </c>
      <c r="F7" s="19" t="s">
        <v>56</v>
      </c>
      <c r="I7" s="35">
        <v>1</v>
      </c>
      <c r="J7" s="35"/>
      <c r="K7" s="5"/>
      <c r="L7" s="5"/>
      <c r="M7" s="5"/>
      <c r="N7" s="5"/>
      <c r="O7" s="5"/>
      <c r="R7" s="35">
        <v>1.6999999999999999E-3</v>
      </c>
      <c r="S7" s="35"/>
      <c r="T7" s="5"/>
      <c r="U7" s="5"/>
      <c r="V7" s="5"/>
      <c r="W7" s="15"/>
      <c r="X7" s="5"/>
      <c r="Y7" s="5"/>
      <c r="Z7" s="5"/>
      <c r="AA7" s="36"/>
      <c r="AD7" s="37">
        <f>AD8*I$4/J$4</f>
        <v>5.8250346146935411E-4</v>
      </c>
      <c r="AE7" s="37"/>
      <c r="AI7" s="5"/>
      <c r="AJ7" s="5"/>
      <c r="AM7" s="38">
        <f>AM8*$I$4/$J$4</f>
        <v>3.698434675995899</v>
      </c>
      <c r="AN7" s="38"/>
      <c r="AO7" s="5"/>
      <c r="AP7" s="5"/>
      <c r="AQ7" s="5"/>
      <c r="AR7" s="5"/>
      <c r="AS7" s="5"/>
      <c r="AV7" s="35">
        <v>0.05</v>
      </c>
      <c r="AW7" s="35"/>
      <c r="AX7" s="5"/>
      <c r="BB7" s="39">
        <v>1.2E-2</v>
      </c>
      <c r="BC7" s="39"/>
      <c r="BD7" s="5"/>
      <c r="BF7" s="31"/>
      <c r="BG7" s="40"/>
      <c r="BH7" s="41">
        <f>0.7/1000</f>
        <v>6.9999999999999999E-4</v>
      </c>
      <c r="BI7" s="41"/>
      <c r="BJ7" s="42"/>
      <c r="BK7" s="18"/>
      <c r="BL7" s="31"/>
      <c r="BO7" s="5"/>
      <c r="BT7" s="31"/>
    </row>
    <row r="8" spans="1:72" ht="15" customHeight="1" x14ac:dyDescent="0.2">
      <c r="A8" s="10" t="s">
        <v>57</v>
      </c>
      <c r="B8" s="12"/>
      <c r="C8" s="43">
        <f>10^7</f>
        <v>10000000</v>
      </c>
      <c r="D8" s="31"/>
      <c r="E8" s="31"/>
      <c r="F8" s="44" t="s">
        <v>58</v>
      </c>
      <c r="I8" s="45">
        <f>(1-G3)*AN4*I14/12/$I$4*I7</f>
        <v>901.25430316490861</v>
      </c>
      <c r="J8" s="45"/>
      <c r="K8" s="32"/>
      <c r="L8" s="32"/>
      <c r="M8" s="32"/>
      <c r="R8" s="46">
        <f>R7*$I8</f>
        <v>1.5321323153803446</v>
      </c>
      <c r="S8" s="46"/>
      <c r="T8" s="5"/>
      <c r="U8" s="5"/>
      <c r="V8" s="5"/>
      <c r="W8" s="15"/>
      <c r="X8" s="5"/>
      <c r="Y8" s="5"/>
      <c r="Z8" s="5"/>
      <c r="AA8" s="5"/>
      <c r="AD8" s="47">
        <f>AE4/AD4</f>
        <v>0.54</v>
      </c>
      <c r="AE8" s="48"/>
      <c r="AI8" s="5"/>
      <c r="AJ8" s="5"/>
      <c r="AM8" s="46">
        <f>AN4/AM4</f>
        <v>3428.5714285714284</v>
      </c>
      <c r="AN8" s="46"/>
      <c r="AO8" s="5"/>
      <c r="AP8" s="5"/>
      <c r="AQ8" s="5"/>
      <c r="AR8" s="5"/>
      <c r="AS8" s="5"/>
      <c r="AV8" s="46">
        <f>AV7*$I8</f>
        <v>45.062715158245432</v>
      </c>
      <c r="AW8" s="46"/>
      <c r="AX8" s="42"/>
      <c r="BB8" s="46">
        <f>BB7*$I8</f>
        <v>10.815051637978904</v>
      </c>
      <c r="BC8" s="46"/>
      <c r="BD8" s="42"/>
      <c r="BH8" s="46">
        <f>BH7*$I8</f>
        <v>0.63087801221543605</v>
      </c>
      <c r="BI8" s="46"/>
      <c r="BJ8" s="42"/>
      <c r="BK8" s="18"/>
      <c r="BO8" s="5"/>
    </row>
    <row r="9" spans="1:72" ht="15" customHeight="1" x14ac:dyDescent="0.2">
      <c r="A9" s="10" t="s">
        <v>59</v>
      </c>
      <c r="B9" s="33"/>
      <c r="C9" s="49">
        <f>C8*C2*1/C5+1/C5</f>
        <v>25000.25</v>
      </c>
      <c r="F9" s="19" t="s">
        <v>60</v>
      </c>
      <c r="G9" s="2" t="s">
        <v>61</v>
      </c>
      <c r="I9" s="50">
        <f>(I$23+I$24*$C6)*10^-6</f>
        <v>7.179999999999999E-6</v>
      </c>
      <c r="J9" s="16">
        <f>I9/($C$7^2)</f>
        <v>8.9486933597177172E-7</v>
      </c>
      <c r="K9" s="51"/>
      <c r="L9" s="51"/>
      <c r="M9" s="51"/>
      <c r="R9" s="50">
        <f>(R$23+R$24*$C6)*10^-6</f>
        <v>9.2499999999999995E-6</v>
      </c>
      <c r="S9" s="16">
        <f>R9/($C$7^2)</f>
        <v>1.1528609133341071E-6</v>
      </c>
      <c r="T9" s="5"/>
      <c r="U9" s="5"/>
      <c r="V9" s="5"/>
      <c r="W9" s="15"/>
      <c r="X9" s="5"/>
      <c r="Y9" s="5"/>
      <c r="Z9" s="5"/>
      <c r="AA9" s="5"/>
      <c r="AD9" s="50">
        <f>10^(-4.41+773.8/(273.15+$C$6)-(506.4/(273.15+$C$6))^2)</f>
        <v>1.7601269126971295E-5</v>
      </c>
      <c r="AE9" s="16">
        <f>AD9/($C$7^2)</f>
        <v>2.1937097515199514E-6</v>
      </c>
      <c r="AI9" s="5"/>
      <c r="AJ9" s="5"/>
      <c r="AM9" s="50">
        <f>(AM$23+AM$24*$C6)*10^-6</f>
        <v>1.0559999999999999E-5</v>
      </c>
      <c r="AN9" s="16">
        <f>AM9/($C$7^2)</f>
        <v>1.316130945384667E-6</v>
      </c>
      <c r="AO9" s="5"/>
      <c r="AP9" s="5"/>
      <c r="AQ9" s="5"/>
      <c r="AR9" s="5"/>
      <c r="AS9" s="5"/>
      <c r="AV9" s="50">
        <f>(AV$23+AV$24*$C6)*10^-6</f>
        <v>7.0700000000000001E-6</v>
      </c>
      <c r="AW9" s="16">
        <f>AV9/($C$7^2)</f>
        <v>8.8115963862401483E-7</v>
      </c>
      <c r="AX9" s="51"/>
      <c r="BB9" s="50">
        <f>(BB$23+BB$24*$C6)*10^-6</f>
        <v>6.3100000000000006E-6</v>
      </c>
      <c r="BC9" s="16">
        <f>BB9/($C$7^2)</f>
        <v>7.8643809331223965E-7</v>
      </c>
      <c r="BD9" s="51"/>
      <c r="BH9" s="50">
        <f>1.12*10^-5</f>
        <v>1.1200000000000001E-5</v>
      </c>
      <c r="BI9" s="16">
        <f>BH9/($C$7^2)</f>
        <v>1.3958964572261623E-6</v>
      </c>
      <c r="BJ9" s="9"/>
      <c r="BK9" s="18"/>
      <c r="BO9" s="5"/>
    </row>
    <row r="10" spans="1:72" ht="15" customHeight="1" x14ac:dyDescent="0.2">
      <c r="A10" s="10"/>
      <c r="B10" s="12"/>
      <c r="C10" s="25"/>
      <c r="D10" s="52"/>
      <c r="E10" s="52"/>
      <c r="F10" s="19" t="s">
        <v>60</v>
      </c>
      <c r="G10" s="2" t="s">
        <v>62</v>
      </c>
      <c r="I10" s="12"/>
      <c r="J10" s="16">
        <f>J9*10^(-4)*365.25*24*3600</f>
        <v>2.8239928556862783E-3</v>
      </c>
      <c r="K10" s="51"/>
      <c r="L10" s="51"/>
      <c r="M10" s="51"/>
      <c r="R10" s="12"/>
      <c r="S10" s="16">
        <f>S9*10^(-4)*365.25*24*3600</f>
        <v>3.6381523558632425E-3</v>
      </c>
      <c r="U10" s="17"/>
      <c r="AD10" s="50"/>
      <c r="AE10" s="16">
        <f>AE9*10^(-4)*365.25*24*3600</f>
        <v>6.9228214854566029E-3</v>
      </c>
      <c r="AM10" s="24"/>
      <c r="AN10" s="16">
        <f>AN9*10^(-4)*365.25*24*3600</f>
        <v>4.1533933922071166E-3</v>
      </c>
      <c r="AO10" s="5"/>
      <c r="AP10" s="5"/>
      <c r="AQ10" s="5"/>
      <c r="AR10" s="5"/>
      <c r="AS10" s="5"/>
      <c r="AV10" s="24"/>
      <c r="AW10" s="16">
        <f>AW9*10^(-4)*365.25*24*3600</f>
        <v>2.780728341184121E-3</v>
      </c>
      <c r="AX10" s="51"/>
      <c r="BB10" s="24"/>
      <c r="BC10" s="16">
        <f>BC9*10^(-4)*365.25*24*3600</f>
        <v>2.4818098773510336E-3</v>
      </c>
      <c r="BD10" s="51"/>
      <c r="BH10" s="24"/>
      <c r="BI10" s="16">
        <f>BI9*10^(-4)*365.25*24*3600</f>
        <v>4.4051142038560335E-3</v>
      </c>
      <c r="BJ10" s="9"/>
      <c r="BK10" s="18"/>
    </row>
    <row r="11" spans="1:72" ht="15" customHeight="1" x14ac:dyDescent="0.2">
      <c r="A11" s="12"/>
      <c r="B11" s="12"/>
      <c r="C11" s="53"/>
      <c r="F11" s="19" t="s">
        <v>63</v>
      </c>
      <c r="I11" s="46">
        <f>1/((($C$2+$C$10)^2/(4*J$10^2)+$C$3*$C$5*I$8/J$10)^0.5-($C$2+$C$10)/(2*J$10))</f>
        <v>0.45106002796732203</v>
      </c>
      <c r="J11" s="46"/>
      <c r="K11" s="42"/>
      <c r="L11" s="42"/>
      <c r="M11" s="42"/>
      <c r="R11" s="46">
        <f>1/((($C$2+$C$10)^2/(4*S$10^2)+$C$3*$C$5*R$8/S$10)^0.5-($C$2+$C$10)/(2*S$10))</f>
        <v>163.534293505969</v>
      </c>
      <c r="S11" s="46"/>
      <c r="T11" s="5"/>
      <c r="U11" s="5"/>
      <c r="V11" s="5"/>
      <c r="W11" s="15"/>
      <c r="X11" s="5"/>
      <c r="Y11" s="5"/>
      <c r="Z11" s="5"/>
      <c r="AA11" s="5"/>
      <c r="AD11" s="45">
        <f>1/((($C$2+$C$10)^2/(4*AE$10^2)+$C$3*$C$5*AD$8/AE$10)^0.5-($C$2+$C$10)/(2*AE$10))</f>
        <v>463.65421300598774</v>
      </c>
      <c r="AE11" s="45"/>
      <c r="AI11" s="5"/>
      <c r="AJ11" s="5"/>
      <c r="AM11" s="46">
        <f>1/((($C$2+$C$10)^2/(4*AN$10^2)+$C$3*$C$5*AM$8/AN$10)^0.5-($C$2+$C$10)/(2*AN$10))</f>
        <v>0.21426263648979427</v>
      </c>
      <c r="AN11" s="46"/>
      <c r="AO11" s="5"/>
      <c r="AP11" s="5"/>
      <c r="AQ11" s="5"/>
      <c r="AR11" s="5"/>
      <c r="AS11" s="5"/>
      <c r="AV11" s="46">
        <f>1/((($C$2+$C$10)^2/(4*AW$10^2)+$C$3*$C$5*AV$8/AW$10)^0.5-($C$2+$C$10)/(2*AW$10))</f>
        <v>5.8132022486123116</v>
      </c>
      <c r="AW11" s="46"/>
      <c r="AX11" s="42"/>
      <c r="BB11" s="46">
        <f>1/((($C$2+$C$10)^2/(4*BC$10^2)+$C$3*$C$5*BB$8/BC$10)^0.5-($C$2+$C$10)/(2*BC$10))</f>
        <v>23.361504314228618</v>
      </c>
      <c r="BC11" s="46"/>
      <c r="BD11" s="42"/>
      <c r="BH11" s="46">
        <f>1/((($C$2+$C$10)^2/(4*BI$10^2)+$C$3*$C$5*BH$8/BI$10)^0.5-($C$2+$C$10)/(2*BI$10))</f>
        <v>396.71314560752245</v>
      </c>
      <c r="BI11" s="46"/>
      <c r="BJ11" s="42"/>
      <c r="BK11" s="18"/>
      <c r="BO11" s="5"/>
    </row>
    <row r="12" spans="1:72" ht="15" customHeight="1" x14ac:dyDescent="0.2">
      <c r="A12" s="10" t="s">
        <v>64</v>
      </c>
      <c r="B12" s="12"/>
      <c r="C12" s="53">
        <f>C2/C3</f>
        <v>1000.0000000000001</v>
      </c>
      <c r="D12" s="54"/>
      <c r="E12" s="54"/>
      <c r="F12" s="19" t="s">
        <v>65</v>
      </c>
      <c r="I12" s="46">
        <f>$C$2/($C$3*$C$5*I$8)</f>
        <v>0.27739118595282403</v>
      </c>
      <c r="J12" s="46"/>
      <c r="K12" s="42"/>
      <c r="L12" s="42"/>
      <c r="M12" s="42"/>
      <c r="R12" s="46">
        <f>$C$2/($C$3*$C$5*R$8)</f>
        <v>163.17128585460239</v>
      </c>
      <c r="S12" s="46"/>
      <c r="T12" s="5"/>
      <c r="U12" s="5"/>
      <c r="V12" s="5"/>
      <c r="W12" s="15"/>
      <c r="X12" s="5"/>
      <c r="Y12" s="5"/>
      <c r="Z12" s="5"/>
      <c r="AA12" s="5"/>
      <c r="AD12" s="45">
        <f>$C$2/($C$3*$C$5*AD$8)</f>
        <v>462.96296296296299</v>
      </c>
      <c r="AE12" s="45"/>
      <c r="AI12" s="5"/>
      <c r="AJ12" s="5"/>
      <c r="AM12" s="46">
        <f>$C$2/($C$3*$C$5*AM$8)</f>
        <v>7.2916666666666685E-2</v>
      </c>
      <c r="AN12" s="46"/>
      <c r="AO12" s="5"/>
      <c r="AP12" s="5"/>
      <c r="AQ12" s="5"/>
      <c r="AR12" s="5"/>
      <c r="AS12" s="5"/>
      <c r="AV12" s="46">
        <f>$C$2/($C$3*$C$5*AV$8)</f>
        <v>5.5478237190564812</v>
      </c>
      <c r="AW12" s="46"/>
      <c r="AX12" s="42"/>
      <c r="BB12" s="46">
        <f>$C$2/($C$3*$C$5*BB$8)</f>
        <v>23.115932162735337</v>
      </c>
      <c r="BC12" s="46"/>
      <c r="BD12" s="42"/>
      <c r="BH12" s="46">
        <f>$C$2/($C$3*$C$5*BH$8)</f>
        <v>396.27312278974864</v>
      </c>
      <c r="BI12" s="46"/>
      <c r="BJ12" s="42"/>
      <c r="BK12" s="18"/>
      <c r="BO12" s="5"/>
    </row>
    <row r="13" spans="1:72" ht="15" customHeight="1" x14ac:dyDescent="0.2">
      <c r="D13" s="54"/>
      <c r="E13" s="54"/>
      <c r="F13" s="19" t="s">
        <v>66</v>
      </c>
      <c r="I13" s="46">
        <f>(J$10/($C$3*$C$5*I$8))^0.5</f>
        <v>0.27988403444303839</v>
      </c>
      <c r="J13" s="46"/>
      <c r="K13" s="42"/>
      <c r="L13" s="42"/>
      <c r="M13" s="42"/>
      <c r="R13" s="46">
        <f>(S$10/($C$3*$C$5*R$8))^0.5</f>
        <v>7.7048166625894234</v>
      </c>
      <c r="S13" s="46"/>
      <c r="T13" s="5"/>
      <c r="U13" s="5"/>
      <c r="V13" s="5"/>
      <c r="W13" s="15"/>
      <c r="X13" s="5"/>
      <c r="Y13" s="5"/>
      <c r="Z13" s="5"/>
      <c r="AA13" s="5"/>
      <c r="AD13" s="46">
        <f>(AE$10/($C$3*$C$5*AD$8))^0.5</f>
        <v>17.902541570879396</v>
      </c>
      <c r="AE13" s="46"/>
      <c r="AI13" s="5"/>
      <c r="AJ13" s="5"/>
      <c r="AM13" s="46">
        <f>(AN$10/($C$3*$C$5*AM$8))^0.5</f>
        <v>0.17402632028377268</v>
      </c>
      <c r="AN13" s="46"/>
      <c r="AO13" s="5"/>
      <c r="AP13" s="5"/>
      <c r="AQ13" s="5"/>
      <c r="AR13" s="5"/>
      <c r="AS13" s="5"/>
      <c r="AV13" s="38">
        <f>(AW$10/($C$3*$C$5*AV$8))^0.5</f>
        <v>1.2420543727016884</v>
      </c>
      <c r="AW13" s="38"/>
      <c r="AX13" s="36"/>
      <c r="BB13" s="38">
        <f>(BC$10/($C$3*$C$5*BB$8))^0.5</f>
        <v>2.3951899458216879</v>
      </c>
      <c r="BC13" s="38"/>
      <c r="BD13" s="36"/>
      <c r="BH13" s="38">
        <f>(BI$10/($C$3*$C$5*BH$8))^0.5</f>
        <v>13.212222984068607</v>
      </c>
      <c r="BI13" s="38"/>
      <c r="BJ13" s="42"/>
      <c r="BK13" s="18"/>
      <c r="BO13" s="5"/>
    </row>
    <row r="14" spans="1:72" ht="15" customHeight="1" x14ac:dyDescent="0.2">
      <c r="D14" s="31"/>
      <c r="E14" s="31"/>
      <c r="F14" s="19" t="s">
        <v>67</v>
      </c>
      <c r="I14" s="35">
        <v>40.078000000000003</v>
      </c>
      <c r="J14" s="35"/>
      <c r="K14" s="5"/>
      <c r="L14" s="5"/>
      <c r="M14" s="5"/>
      <c r="R14" s="35">
        <v>6.94</v>
      </c>
      <c r="S14" s="35"/>
      <c r="T14" s="5"/>
      <c r="U14" s="5"/>
      <c r="V14" s="5"/>
      <c r="W14" s="15"/>
      <c r="X14" s="5"/>
      <c r="Y14" s="5"/>
      <c r="Z14" s="5"/>
      <c r="AA14" s="5"/>
      <c r="AD14" s="35">
        <v>16</v>
      </c>
      <c r="AE14" s="35"/>
      <c r="AI14" s="5"/>
      <c r="AJ14" s="5"/>
      <c r="AM14" s="35">
        <v>12</v>
      </c>
      <c r="AN14" s="35"/>
      <c r="AO14" s="5"/>
      <c r="AP14" s="5"/>
      <c r="AQ14" s="5"/>
      <c r="AV14" s="35">
        <v>87.62</v>
      </c>
      <c r="AW14" s="35"/>
      <c r="AX14" s="5"/>
      <c r="BB14" s="35">
        <v>24.3</v>
      </c>
      <c r="BC14" s="35"/>
      <c r="BD14" s="5"/>
      <c r="BH14" s="35">
        <v>11</v>
      </c>
      <c r="BI14" s="35"/>
      <c r="BJ14" s="42"/>
      <c r="BK14" s="18"/>
      <c r="BO14" s="5"/>
    </row>
    <row r="15" spans="1:72" ht="15" customHeight="1" x14ac:dyDescent="0.2">
      <c r="A15" s="55"/>
      <c r="B15" s="17"/>
      <c r="C15" s="17"/>
      <c r="F15" s="19" t="s">
        <v>68</v>
      </c>
      <c r="L15" s="56">
        <f>1/47.148</f>
        <v>2.120980741494867E-2</v>
      </c>
      <c r="M15" s="56"/>
      <c r="R15" s="5"/>
      <c r="S15" s="5"/>
      <c r="T15" s="5"/>
      <c r="U15" s="5"/>
      <c r="V15" s="5"/>
      <c r="W15" s="15"/>
      <c r="X15" s="41">
        <f>1/(0.08215)</f>
        <v>12.172854534388314</v>
      </c>
      <c r="Y15" s="41"/>
      <c r="Z15" s="5"/>
      <c r="AA15" s="5"/>
      <c r="AG15" s="57">
        <v>2.0671999999999999E-3</v>
      </c>
      <c r="AH15" s="57"/>
      <c r="AI15" s="5"/>
      <c r="AJ15" s="5"/>
      <c r="AM15" s="5"/>
      <c r="AN15" s="5"/>
      <c r="AO15" s="5"/>
      <c r="AP15" s="57">
        <v>1.1237199999999999E-2</v>
      </c>
      <c r="AQ15" s="57"/>
      <c r="AV15" s="5"/>
      <c r="AW15" s="5"/>
      <c r="AX15" s="5"/>
      <c r="BJ15" s="18"/>
      <c r="BK15" s="18"/>
      <c r="BO15" s="5"/>
    </row>
    <row r="16" spans="1:72" ht="15" customHeight="1" x14ac:dyDescent="0.2">
      <c r="A16" s="55"/>
      <c r="B16" s="17"/>
      <c r="C16" s="17"/>
      <c r="F16" s="19" t="s">
        <v>69</v>
      </c>
      <c r="N16" s="39">
        <v>1</v>
      </c>
      <c r="O16" s="39"/>
      <c r="R16" s="5"/>
      <c r="S16" s="5"/>
      <c r="T16" s="5"/>
      <c r="U16" s="5"/>
      <c r="V16" s="5"/>
      <c r="W16" s="15"/>
      <c r="X16" s="5"/>
      <c r="Y16" s="5"/>
      <c r="Z16" s="39">
        <f>EXP(Z17/1000)</f>
        <v>0.99900049983337502</v>
      </c>
      <c r="AA16" s="39"/>
      <c r="AD16" s="58"/>
      <c r="AE16" s="58"/>
      <c r="AI16" s="39">
        <v>1.0324</v>
      </c>
      <c r="AJ16" s="39"/>
      <c r="AM16" s="5"/>
      <c r="AN16" s="5"/>
      <c r="AO16" s="5"/>
      <c r="AP16" s="5"/>
      <c r="AQ16" s="5"/>
      <c r="AR16" s="39">
        <v>1.0009999999999999</v>
      </c>
      <c r="AS16" s="39"/>
      <c r="AV16" s="5"/>
      <c r="AW16" s="5"/>
      <c r="AX16" s="5"/>
      <c r="BJ16" s="18"/>
      <c r="BK16" s="18"/>
      <c r="BO16" s="5"/>
    </row>
    <row r="17" spans="1:89" x14ac:dyDescent="0.2">
      <c r="A17" s="55"/>
      <c r="B17" s="18"/>
      <c r="C17" s="18"/>
      <c r="F17" s="44" t="s">
        <v>70</v>
      </c>
      <c r="N17" s="46">
        <f>1000*LN(N16)</f>
        <v>0</v>
      </c>
      <c r="O17" s="46"/>
      <c r="R17" s="5"/>
      <c r="S17" s="5"/>
      <c r="T17" s="5"/>
      <c r="U17" s="5"/>
      <c r="V17" s="5"/>
      <c r="W17" s="15"/>
      <c r="X17" s="5"/>
      <c r="Y17" s="5"/>
      <c r="Z17" s="35">
        <v>-1</v>
      </c>
      <c r="AA17" s="35"/>
      <c r="AD17" s="59"/>
      <c r="AE17" s="59"/>
      <c r="AH17" s="31"/>
      <c r="AI17" s="38">
        <f>(17500/(C6+273.15)-29.89)</f>
        <v>29.806401159815799</v>
      </c>
      <c r="AJ17" s="38"/>
      <c r="AR17" s="38">
        <f>1000*LN(AR16)</f>
        <v>0.99950033308342323</v>
      </c>
      <c r="AS17" s="38"/>
      <c r="AV17" s="5"/>
      <c r="AW17" s="5"/>
      <c r="AX17" s="5"/>
      <c r="BJ17" s="18"/>
      <c r="BK17" s="18"/>
      <c r="BO17" s="5"/>
    </row>
    <row r="18" spans="1:89" x14ac:dyDescent="0.2">
      <c r="A18" s="55"/>
      <c r="B18" s="18"/>
      <c r="C18" s="18"/>
      <c r="F18" s="19" t="s">
        <v>71</v>
      </c>
      <c r="N18" s="28">
        <v>1</v>
      </c>
      <c r="O18" s="24"/>
      <c r="R18" s="5"/>
      <c r="S18" s="5"/>
      <c r="T18" s="5"/>
      <c r="U18" s="5"/>
      <c r="V18" s="5"/>
      <c r="W18" s="15"/>
      <c r="X18" s="5"/>
      <c r="Y18" s="5"/>
      <c r="Z18" s="28">
        <f>EXP(Z19/1000)</f>
        <v>0.997004495503373</v>
      </c>
      <c r="AA18" s="24"/>
      <c r="AD18" s="17"/>
      <c r="AE18" s="17"/>
      <c r="AI18" s="28">
        <f>1/(18/16)^0.08</f>
        <v>0.99062161114105263</v>
      </c>
      <c r="AJ18" s="28"/>
      <c r="AR18" s="28">
        <f>EXP(AR19/1000)</f>
        <v>0.99920031991468372</v>
      </c>
      <c r="AS18" s="12"/>
      <c r="AV18" s="5"/>
      <c r="AW18" s="5"/>
      <c r="AX18" s="5"/>
      <c r="BJ18" s="18"/>
      <c r="BK18" s="18"/>
      <c r="BO18" s="5"/>
    </row>
    <row r="19" spans="1:89" x14ac:dyDescent="0.2">
      <c r="B19" s="60"/>
      <c r="C19" s="18"/>
      <c r="F19" s="44" t="s">
        <v>72</v>
      </c>
      <c r="H19" s="17"/>
      <c r="I19" s="17"/>
      <c r="J19" s="17"/>
      <c r="K19" s="17"/>
      <c r="L19" s="17"/>
      <c r="M19" s="17"/>
      <c r="N19" s="24">
        <f>1000*LN(N18)</f>
        <v>0</v>
      </c>
      <c r="O19" s="24"/>
      <c r="P19" s="17"/>
      <c r="Q19" s="61"/>
      <c r="R19" s="62"/>
      <c r="S19" s="5"/>
      <c r="T19" s="62"/>
      <c r="U19" s="5"/>
      <c r="V19" s="5"/>
      <c r="W19" s="15"/>
      <c r="X19" s="5"/>
      <c r="Y19" s="5"/>
      <c r="Z19" s="24">
        <v>-3</v>
      </c>
      <c r="AA19" s="24"/>
      <c r="AD19" s="63"/>
      <c r="AE19" s="63"/>
      <c r="AI19" s="64">
        <f>1000*LN(AI18)</f>
        <v>-9.4226428525107071</v>
      </c>
      <c r="AJ19" s="64"/>
      <c r="AR19" s="24">
        <v>-0.8</v>
      </c>
      <c r="AS19" s="12"/>
      <c r="AV19" s="5"/>
      <c r="AW19" s="5"/>
      <c r="AX19" s="5"/>
      <c r="BJ19" s="18"/>
      <c r="BK19" s="18"/>
      <c r="BN19" s="17"/>
      <c r="BO19" s="62"/>
    </row>
    <row r="20" spans="1:89" x14ac:dyDescent="0.2">
      <c r="B20" s="18"/>
      <c r="F20" s="19" t="s">
        <v>73</v>
      </c>
      <c r="N20" s="46">
        <f>1/((($C$2+$C$10)^2/(4*(J$10/N18)^2)+$C$3*$C$5*I$8/N16/(J$10/N18))^0.5-($C$2+$C$10)/(2*(J$10/N18)))</f>
        <v>0.45106002796732203</v>
      </c>
      <c r="O20" s="65"/>
      <c r="R20" s="5"/>
      <c r="S20" s="5"/>
      <c r="T20" s="5"/>
      <c r="U20" s="5"/>
      <c r="V20" s="5"/>
      <c r="W20" s="15"/>
      <c r="X20" s="5"/>
      <c r="Y20" s="5"/>
      <c r="Z20" s="46">
        <f>1/((($C$2+$C$10)^2/(4*(S$10/Z18)^2)+$C$3*$C$5*R$8/Z16/(S$10/Z18))^0.5-($C$2+$C$10)/(2*(S$10/Z18)))</f>
        <v>163.37229120460393</v>
      </c>
      <c r="AA20" s="65"/>
      <c r="AD20" s="66"/>
      <c r="AE20" s="66"/>
      <c r="AI20" s="46">
        <f>1/((($C$2+$C$10)^2/(4*(AE$10*AI18)^2)+$C$3*$C$5*AD$8*AI16/(AE$10*AI18))^0.5-($C$2+$C$10)/(2*(AE$10*AI18)))</f>
        <v>449.11845480998966</v>
      </c>
      <c r="AJ20" s="46"/>
      <c r="AR20" s="46">
        <f>1/((($C$2+$C$10)^2/(4*(AN$10*AR18)^2)+$C$3*$C$5*AM$8*AR16/(AN$10*AR18))^0.5-($C$2+$C$10)/(2*(AN$10*AR18)))</f>
        <v>0.21406556211813241</v>
      </c>
      <c r="AS20" s="46"/>
      <c r="AV20" s="5"/>
      <c r="AW20" s="5"/>
      <c r="AX20" s="5"/>
      <c r="BJ20" s="18"/>
      <c r="BK20" s="18"/>
      <c r="BO20" s="5"/>
    </row>
    <row r="21" spans="1:89" x14ac:dyDescent="0.2">
      <c r="B21" s="18"/>
      <c r="C21" s="31"/>
      <c r="D21" s="54"/>
      <c r="E21" s="54"/>
      <c r="F21" s="19" t="s">
        <v>74</v>
      </c>
      <c r="G21" s="2"/>
      <c r="H21" s="2"/>
      <c r="I21" s="2"/>
      <c r="J21" s="2"/>
      <c r="K21" s="2"/>
      <c r="L21" s="2"/>
      <c r="M21" s="2"/>
      <c r="N21" s="46">
        <f>$C$2/($C$3*$C$5*I$8/N16)</f>
        <v>0.27739118595282403</v>
      </c>
      <c r="O21" s="46"/>
      <c r="P21" s="2"/>
      <c r="Q21" s="6"/>
      <c r="R21" s="2"/>
      <c r="S21" s="2"/>
      <c r="T21" s="2"/>
      <c r="U21" s="2"/>
      <c r="V21" s="2"/>
      <c r="W21" s="6"/>
      <c r="X21" s="2"/>
      <c r="Y21" s="2"/>
      <c r="Z21" s="46">
        <f>$C$2/($C$3*$C$5*R$8/Z16)</f>
        <v>163.0081961272023</v>
      </c>
      <c r="AA21" s="46"/>
      <c r="AD21" s="66"/>
      <c r="AE21" s="66"/>
      <c r="AI21" s="46">
        <f>$C$2/($C$3*$C$5*AD$8*AI16)</f>
        <v>448.4337107351443</v>
      </c>
      <c r="AJ21" s="46"/>
      <c r="AR21" s="46">
        <f>$C$2/($C$3*$C$5*AM$8*AR16)</f>
        <v>7.2843822843822861E-2</v>
      </c>
      <c r="AS21" s="46"/>
      <c r="AV21" s="5"/>
      <c r="AW21" s="5"/>
      <c r="AX21" s="5"/>
      <c r="BJ21" s="18"/>
      <c r="BK21" s="18"/>
      <c r="BN21" s="2"/>
      <c r="BO21" s="2"/>
    </row>
    <row r="22" spans="1:89" x14ac:dyDescent="0.2">
      <c r="B22" s="54"/>
      <c r="F22" s="19" t="s">
        <v>75</v>
      </c>
      <c r="N22" s="46">
        <f>(J$10/N18/($C$3*$C$5*I$8))^0.5</f>
        <v>0.27988403444303839</v>
      </c>
      <c r="O22" s="46"/>
      <c r="R22" s="67"/>
      <c r="S22" s="5"/>
      <c r="T22" s="5"/>
      <c r="U22" s="5"/>
      <c r="V22" s="5"/>
      <c r="W22" s="15"/>
      <c r="X22" s="5"/>
      <c r="Y22" s="5"/>
      <c r="Z22" s="46">
        <f>(S$10/Z18/($C$3*$C$5*R$8))^0.5</f>
        <v>7.7163825598376379</v>
      </c>
      <c r="AA22" s="46"/>
      <c r="AB22" s="2"/>
      <c r="AC22" s="6"/>
      <c r="AD22" s="66"/>
      <c r="AE22" s="66"/>
      <c r="AF22" s="2"/>
      <c r="AG22" s="2"/>
      <c r="AH22" s="2"/>
      <c r="AI22" s="46">
        <f>(AE$10*AI18/($C$3*$C$5*AD$8))^0.5</f>
        <v>17.818395318858443</v>
      </c>
      <c r="AJ22" s="46"/>
      <c r="AK22" s="2"/>
      <c r="AL22" s="6"/>
      <c r="AM22" s="2"/>
      <c r="AN22" s="2"/>
      <c r="AO22" s="2"/>
      <c r="AP22" s="2"/>
      <c r="AQ22" s="2"/>
      <c r="AR22" s="46">
        <f>(AN$10*AR18/($C$3*$C$5*AM$8))^0.5</f>
        <v>0.1739567236759087</v>
      </c>
      <c r="AS22" s="46"/>
      <c r="AT22" s="2"/>
      <c r="AU22" s="6"/>
      <c r="AV22" s="2"/>
      <c r="AW22" s="5"/>
      <c r="AX22" s="5"/>
      <c r="AY22" s="2"/>
      <c r="AZ22" s="2"/>
      <c r="BA22" s="6"/>
      <c r="BB22" s="2"/>
      <c r="BC22" s="2"/>
      <c r="BD22" s="2"/>
      <c r="BE22" s="2"/>
      <c r="BF22" s="2"/>
      <c r="BG22" s="6"/>
      <c r="BH22" s="2"/>
      <c r="BI22" s="2"/>
      <c r="BJ22" s="9"/>
      <c r="BK22" s="9"/>
      <c r="BL22" s="2"/>
      <c r="BO22" s="5"/>
      <c r="BP22" s="2"/>
      <c r="BQ22" s="2"/>
      <c r="BR22" s="2"/>
      <c r="BS22" s="2"/>
      <c r="BT22" s="2"/>
    </row>
    <row r="23" spans="1:89" x14ac:dyDescent="0.2">
      <c r="B23" s="18"/>
      <c r="C23" s="68"/>
      <c r="F23" s="19" t="s">
        <v>76</v>
      </c>
      <c r="I23" s="12">
        <v>3.6</v>
      </c>
      <c r="R23">
        <v>4.43</v>
      </c>
      <c r="AM23" s="12">
        <v>5.0599999999999996</v>
      </c>
      <c r="AV23" s="24">
        <v>3.69</v>
      </c>
      <c r="AW23" s="5"/>
      <c r="AX23" s="5"/>
      <c r="BB23" s="12">
        <v>3.43</v>
      </c>
      <c r="BJ23" s="18"/>
      <c r="BK23" s="18"/>
    </row>
    <row r="24" spans="1:89" x14ac:dyDescent="0.2">
      <c r="B24" s="31"/>
      <c r="C24" s="31"/>
      <c r="F24" s="44" t="s">
        <v>77</v>
      </c>
      <c r="I24" s="69">
        <v>0.17899999999999999</v>
      </c>
      <c r="R24" s="31">
        <v>0.24099999999999999</v>
      </c>
      <c r="V24" s="31"/>
      <c r="W24" s="40"/>
      <c r="X24" s="31"/>
      <c r="Y24" s="31"/>
      <c r="AA24" s="31"/>
      <c r="AH24" s="69">
        <f>(AG4*AI16/AG15-1)*1000</f>
        <v>1.9442000000000625</v>
      </c>
      <c r="AM24" s="69">
        <v>0.27500000000000002</v>
      </c>
      <c r="AV24" s="70">
        <v>0.16900000000000001</v>
      </c>
      <c r="AW24" s="5"/>
      <c r="AX24" s="5"/>
      <c r="BB24" s="69">
        <v>0.14399999999999999</v>
      </c>
      <c r="BJ24" s="18"/>
      <c r="BK24" s="18"/>
    </row>
    <row r="25" spans="1:89" ht="34" x14ac:dyDescent="0.2">
      <c r="B25" s="18"/>
      <c r="C25" s="18"/>
      <c r="F25" s="54"/>
      <c r="H25" s="71" t="s">
        <v>78</v>
      </c>
      <c r="I25" s="72" t="s">
        <v>1</v>
      </c>
      <c r="J25" s="72" t="s">
        <v>2</v>
      </c>
      <c r="K25" s="73"/>
      <c r="L25" s="72" t="s">
        <v>3</v>
      </c>
      <c r="M25" s="72" t="s">
        <v>4</v>
      </c>
      <c r="N25" s="72" t="s">
        <v>5</v>
      </c>
      <c r="O25" s="72" t="s">
        <v>6</v>
      </c>
      <c r="P25" s="74" t="s">
        <v>79</v>
      </c>
      <c r="Q25" s="75"/>
      <c r="R25" s="72" t="s">
        <v>7</v>
      </c>
      <c r="S25" s="72" t="s">
        <v>8</v>
      </c>
      <c r="T25" s="74" t="s">
        <v>80</v>
      </c>
      <c r="U25" s="74" t="s">
        <v>9</v>
      </c>
      <c r="V25" s="74" t="s">
        <v>10</v>
      </c>
      <c r="W25" s="75"/>
      <c r="X25" s="74" t="s">
        <v>11</v>
      </c>
      <c r="Y25" s="74" t="s">
        <v>12</v>
      </c>
      <c r="Z25" s="72" t="s">
        <v>13</v>
      </c>
      <c r="AA25" s="74" t="s">
        <v>14</v>
      </c>
      <c r="AB25" s="74" t="s">
        <v>81</v>
      </c>
      <c r="AC25" s="75"/>
      <c r="AD25" s="76" t="s">
        <v>15</v>
      </c>
      <c r="AE25" s="76" t="s">
        <v>16</v>
      </c>
      <c r="AF25" s="74" t="s">
        <v>82</v>
      </c>
      <c r="AG25" s="74" t="s">
        <v>83</v>
      </c>
      <c r="AH25" s="74" t="s">
        <v>84</v>
      </c>
      <c r="AI25" s="74" t="s">
        <v>19</v>
      </c>
      <c r="AJ25" s="74" t="s">
        <v>20</v>
      </c>
      <c r="AK25" s="74" t="s">
        <v>85</v>
      </c>
      <c r="AL25" s="75"/>
      <c r="AM25" s="76" t="s">
        <v>21</v>
      </c>
      <c r="AN25" s="76" t="s">
        <v>22</v>
      </c>
      <c r="AO25" s="74" t="s">
        <v>86</v>
      </c>
      <c r="AP25" s="74" t="s">
        <v>23</v>
      </c>
      <c r="AQ25" s="74" t="s">
        <v>24</v>
      </c>
      <c r="AR25" s="74" t="s">
        <v>25</v>
      </c>
      <c r="AS25" s="74" t="s">
        <v>26</v>
      </c>
      <c r="AT25" s="74" t="s">
        <v>87</v>
      </c>
      <c r="AU25" s="75"/>
      <c r="AV25" s="72" t="s">
        <v>27</v>
      </c>
      <c r="AW25" s="72" t="s">
        <v>28</v>
      </c>
      <c r="AX25" s="74" t="s">
        <v>29</v>
      </c>
      <c r="AY25" s="74" t="s">
        <v>30</v>
      </c>
      <c r="AZ25" s="74" t="s">
        <v>88</v>
      </c>
      <c r="BA25" s="75"/>
      <c r="BB25" s="72" t="s">
        <v>31</v>
      </c>
      <c r="BC25" s="72" t="s">
        <v>32</v>
      </c>
      <c r="BD25" s="74" t="s">
        <v>33</v>
      </c>
      <c r="BE25" s="74" t="s">
        <v>34</v>
      </c>
      <c r="BF25" s="74" t="s">
        <v>89</v>
      </c>
      <c r="BG25" s="75"/>
      <c r="BH25" s="72" t="s">
        <v>35</v>
      </c>
      <c r="BI25" s="72" t="s">
        <v>36</v>
      </c>
      <c r="BJ25" s="77" t="s">
        <v>37</v>
      </c>
      <c r="BK25" s="77" t="s">
        <v>38</v>
      </c>
      <c r="BL25" s="74" t="s">
        <v>90</v>
      </c>
      <c r="BN25" s="2"/>
      <c r="BO25" s="2"/>
      <c r="BP25" s="2"/>
      <c r="BQ25" s="74" t="s">
        <v>79</v>
      </c>
      <c r="BR25" s="74" t="s">
        <v>80</v>
      </c>
      <c r="BS25" s="74" t="s">
        <v>81</v>
      </c>
      <c r="BT25" s="74" t="s">
        <v>85</v>
      </c>
      <c r="BU25" s="74" t="s">
        <v>87</v>
      </c>
      <c r="BV25" s="74" t="s">
        <v>88</v>
      </c>
      <c r="BW25" s="74" t="s">
        <v>89</v>
      </c>
      <c r="BX25" s="74" t="s">
        <v>90</v>
      </c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</row>
    <row r="26" spans="1:89" x14ac:dyDescent="0.2">
      <c r="B26" s="18"/>
      <c r="F26" s="31"/>
      <c r="G26" s="79"/>
      <c r="H26" s="36">
        <v>0</v>
      </c>
      <c r="I26" s="79">
        <f>J$4/I$8+(I$4-J$4/I$8)*EXP(-$H26/I$11)</f>
        <v>420</v>
      </c>
      <c r="J26" s="79">
        <f>J$4+(I$4*I$8-J$4)*EXP(-$H26/I$11)</f>
        <v>378526.80732926162</v>
      </c>
      <c r="K26" s="80">
        <f>I26/40/560*1000</f>
        <v>18.75</v>
      </c>
      <c r="L26" s="68">
        <f t="shared" ref="L26:L85" si="0">M$4/N$16*J$4/(I$8*I26)+(L$4*I$4/I26-M$4/N$16*J$4/(I$8*I26))*EXP(-$H26/N$20)</f>
        <v>2.1199202511241196E-2</v>
      </c>
      <c r="M26" s="68">
        <f t="shared" ref="M26:M85" si="1">M$4*J$4/(I$8*I26)+(L$4*I$4/I26*N$16-M$4*J$4/(I$8*I26))*EXP(-$H26/N$20)</f>
        <v>2.1199202511241196E-2</v>
      </c>
      <c r="N26" s="31">
        <f t="shared" ref="N26:N85" si="2">(L26/L$15-1)*1000</f>
        <v>-0.49999999999994493</v>
      </c>
      <c r="O26" s="31">
        <f t="shared" ref="O26:O85" si="3">(M26/L$15-1)*1000</f>
        <v>-0.49999999999994493</v>
      </c>
      <c r="P26" s="31">
        <f>(O26-O$4)/(O$5-O$4)</f>
        <v>1.00000000000005</v>
      </c>
      <c r="Q26" s="40"/>
      <c r="R26" s="81">
        <f>S$4/R$8+(R$4-S$4/R$8)*EXP(-$H26/R$11)</f>
        <v>0.185</v>
      </c>
      <c r="S26" s="81">
        <f t="shared" ref="S26:S85" si="4">S$4+(R$4*R$8-S$4)*EXP(-$H26/R$11)</f>
        <v>0.28344447834536374</v>
      </c>
      <c r="T26" s="31">
        <f t="shared" ref="T26:T85" si="5">(S26-S$4)/(R$8*R$4-S$4)</f>
        <v>1</v>
      </c>
      <c r="U26" s="54">
        <f>R26/$I26*40/R$14*10^6</f>
        <v>2538.7676684506655</v>
      </c>
      <c r="V26" s="31">
        <f>S26/J26*40/6.94*10^6</f>
        <v>4.3159050363661304</v>
      </c>
      <c r="W26" s="40"/>
      <c r="X26" s="17">
        <f t="shared" ref="X26:X85" si="6">R26/((S$4/Y$4)*Z$16/R$8+(R$4/X$4-(S$4/Y$4)*Z$16/R$8)*EXP(-H26/Z$20))</f>
        <v>12.550213024954351</v>
      </c>
      <c r="Y26" s="17">
        <f>X26*Z$16</f>
        <v>12.53766908494473</v>
      </c>
      <c r="Z26" s="31">
        <f t="shared" ref="Z26:Z85" si="7">(X26/X$15-1)*1000</f>
        <v>30.999999999999915</v>
      </c>
      <c r="AA26" s="31">
        <f>(Y26/X$15-1)*1000</f>
        <v>29.969515328209575</v>
      </c>
      <c r="AB26" s="31">
        <f t="shared" ref="AB26:AB85" si="8">(Y26-Y$4)/(Y$5-Y$4)</f>
        <v>1</v>
      </c>
      <c r="AC26" s="40"/>
      <c r="AD26" s="79">
        <f>AD$4</f>
        <v>888888.88888888888</v>
      </c>
      <c r="AE26" s="79">
        <f t="shared" ref="AE26:AE85" si="9">AE$4+(AD$4*AD$8-AE$4)*EXP(-$H26/AD$11)</f>
        <v>480000</v>
      </c>
      <c r="AF26" s="31">
        <f t="shared" ref="AF26:AF85" si="10">EXP(-H26/Z$20)</f>
        <v>1</v>
      </c>
      <c r="AG26" s="68">
        <f t="shared" ref="AG26:AG85" si="11">AH$4/AI$16*AE$4/(AD$8*AD26)+(AG$4*AD$4/AD26-AH$4/AI$16*AE$4/(AD$8*AD26))*EXP(-$H26/AI$20)</f>
        <v>2.0062176E-3</v>
      </c>
      <c r="AH26" s="68">
        <f>AH$4*AE$4/(AD$8*AD26)+(AG$4*AD$4/AD26*AI$16-AH$4*AE$4/(AD$8*AD26))*EXP(-$H26/AI$20)</f>
        <v>2.0712190502400001E-3</v>
      </c>
      <c r="AI26" s="31">
        <f>(AG26/AG$15-1)*1000</f>
        <v>-29.499999999999972</v>
      </c>
      <c r="AJ26" s="31">
        <f>(AH26/AG$15-1)*1000</f>
        <v>1.9442000000000625</v>
      </c>
      <c r="AK26" s="31">
        <f t="shared" ref="AK26:AK85" si="12">(AJ26-AJ$4)/(AJ$5-AJ$4)</f>
        <v>1.0000000000000271</v>
      </c>
      <c r="AL26" s="40"/>
      <c r="AM26" s="79">
        <f t="shared" ref="AM26:AM85" si="13">AN$4/AM$8+(AM$4-AN$4/AM$8)*EXP(-$H26/AM$11)</f>
        <v>35</v>
      </c>
      <c r="AN26" s="79">
        <f t="shared" ref="AN26:AN85" si="14">AN$4+(AM$4*AM$8-AN$4)*EXP(-$H26/AM$11)</f>
        <v>120000</v>
      </c>
      <c r="AO26" s="17"/>
      <c r="AP26" s="68">
        <f t="shared" ref="AP26:AP85" si="15">AQ$4/AR$16*AN$4/(AM$8*AM26)+(AP$4*AM$4/AM26-AQ$4/AR$16*AN$4/(AM$8*AM26))*EXP(-$H26/AR$20)</f>
        <v>1.1254055799999999E-2</v>
      </c>
      <c r="AQ26" s="68">
        <f>AQ$4*AN$4/(AM$8*AM26)+(AP$4*AM$4/AM26*AR$16-AQ$4*AN$4/(AM$8*AM26))*EXP(-$H26/AR$20)</f>
        <v>1.1265309855799998E-2</v>
      </c>
      <c r="AR26" s="31">
        <f>(AP26/AP$15-1)*1000</f>
        <v>1.5000000000000568</v>
      </c>
      <c r="AS26" s="31">
        <f>(AQ26/AP$15-1)*1000</f>
        <v>2.5014999999999343</v>
      </c>
      <c r="AT26" s="31">
        <f>(AS26-$AS$4)/($AS$5-$AS$4)</f>
        <v>0.99920029306823432</v>
      </c>
      <c r="AU26" s="40"/>
      <c r="AV26" s="82">
        <f t="shared" ref="AV26:AV85" si="16">AW$4/AV$8+(AV$4-AW$4/AV$8)*EXP(-$H26/AV$11)</f>
        <v>8</v>
      </c>
      <c r="AW26" s="79">
        <f t="shared" ref="AW26:AW85" si="17">AW$4+(AV$4*AV$8-AW$4)*EXP(-$H26/AV$11)</f>
        <v>360.50172126596408</v>
      </c>
      <c r="AX26" s="18">
        <f>AV26/$I26*40/AV$14*10^3</f>
        <v>8.6955576569819897</v>
      </c>
      <c r="AY26" s="31">
        <f>AW26/$J26*40/AV$14*10^3</f>
        <v>0.43477788284910018</v>
      </c>
      <c r="AZ26" s="31">
        <f t="shared" ref="AZ26:AZ85" si="18">(AW26-AW$4)/(AV$8*AV$4-AW$4)</f>
        <v>1</v>
      </c>
      <c r="BA26" s="40"/>
      <c r="BB26" s="82">
        <f t="shared" ref="BB26:BB85" si="19">BC$4/BB$8+(BB$4-BC$4/BB$8)*EXP(-$H26/BB$11)</f>
        <v>1250</v>
      </c>
      <c r="BC26" s="79">
        <f t="shared" ref="BC26:BC85" si="20">BC$4+(BB$4*BB$8-BC$4)*EXP(-$H26/BB$11)</f>
        <v>13518.81454747363</v>
      </c>
      <c r="BD26" s="31">
        <f>BB26/$I26*40/BB$14</f>
        <v>4.8990789731530473</v>
      </c>
      <c r="BE26" s="17">
        <f>BC26/$J26*40/BB$14</f>
        <v>5.8788947677836573E-2</v>
      </c>
      <c r="BF26" s="31">
        <f t="shared" ref="BF26:BF85" si="21">(BC26-BC$4)/(BB$8*BB$4-BC$4)</f>
        <v>1</v>
      </c>
      <c r="BG26" s="40"/>
      <c r="BH26" s="80">
        <f t="shared" ref="BH26:BH85" si="22">BI$4/BH$8+(BH$4-BI$4/BH$8)*EXP(-$H26/BH$11)</f>
        <v>4.8000000000000007</v>
      </c>
      <c r="BI26" s="80">
        <f t="shared" ref="BI26:BI85" si="23">BI$4+(BH$4*BH$8-BI$4)*EXP(-$H26/BH$11)</f>
        <v>3.0282144586340927</v>
      </c>
      <c r="BJ26" s="18">
        <f>BH26/$I26*40/BH$14*10^6</f>
        <v>41558.441558441562</v>
      </c>
      <c r="BK26" s="18">
        <f>BI26/$J26*40/BH$14*10^6</f>
        <v>29.09090909090909</v>
      </c>
      <c r="BL26" s="31">
        <f t="shared" ref="BL26:BL85" si="24">(BI26-BI$4)/(BH$8*BH$4-BI$4)</f>
        <v>1</v>
      </c>
      <c r="BN26" s="31"/>
      <c r="BO26" s="31"/>
      <c r="BP26" s="31"/>
      <c r="BQ26" s="31">
        <v>1.00000000000005</v>
      </c>
      <c r="BR26" s="31">
        <v>1</v>
      </c>
      <c r="BS26" s="31">
        <v>1</v>
      </c>
      <c r="BT26" s="31">
        <v>0.9999999999999909</v>
      </c>
      <c r="BU26" s="31">
        <v>0.99920029306823432</v>
      </c>
      <c r="BV26" s="31">
        <v>1</v>
      </c>
      <c r="BW26" s="31">
        <v>1</v>
      </c>
      <c r="BX26" s="31">
        <v>1</v>
      </c>
      <c r="BY26" s="36"/>
      <c r="BZ26" s="36"/>
      <c r="CA26" s="83"/>
      <c r="CB26" s="83"/>
      <c r="CC26" s="83"/>
      <c r="CD26" s="83"/>
      <c r="CE26" s="83"/>
      <c r="CF26" s="83"/>
      <c r="CG26" s="83"/>
      <c r="CI26" s="31"/>
      <c r="CJ26" s="31"/>
    </row>
    <row r="27" spans="1:89" x14ac:dyDescent="0.2">
      <c r="A27" s="55"/>
      <c r="B27" s="18"/>
      <c r="F27" s="31"/>
      <c r="G27" s="79"/>
      <c r="H27" s="62">
        <v>1.001001001001E-5</v>
      </c>
      <c r="I27" s="79">
        <f t="shared" ref="I27:I85" si="25">J$4/I$8+(I$4-J$4/I$8)*EXP(-$H27/I$11)</f>
        <v>420.00026660005375</v>
      </c>
      <c r="J27" s="79">
        <f t="shared" ref="J27:J85" si="26">J$4+(I$4*I$8-J$4)*EXP(-$H27/I$11)</f>
        <v>378527.04760370729</v>
      </c>
      <c r="K27" s="80">
        <f t="shared" ref="K27:K85" si="27">I27/40/560*1000</f>
        <v>18.750011901788113</v>
      </c>
      <c r="L27" s="68">
        <f t="shared" si="0"/>
        <v>2.1199201978676488E-2</v>
      </c>
      <c r="M27" s="68">
        <f t="shared" si="1"/>
        <v>2.1199201978676488E-2</v>
      </c>
      <c r="N27" s="31">
        <f t="shared" si="2"/>
        <v>-0.50002510936086875</v>
      </c>
      <c r="O27" s="31">
        <f t="shared" si="3"/>
        <v>-0.50002510936086875</v>
      </c>
      <c r="P27" s="31">
        <f t="shared" ref="P27:P85" si="28">(O27-O$4)/(O$5-O$4)</f>
        <v>0.99997717330830116</v>
      </c>
      <c r="Q27" s="40"/>
      <c r="R27" s="81">
        <f t="shared" ref="R27:R85" si="29">S$4/R$8+(R$4-S$4/R$8)*EXP(-$H27/R$11)</f>
        <v>0.18500001264676008</v>
      </c>
      <c r="S27" s="81">
        <f t="shared" si="4"/>
        <v>0.28344449772187352</v>
      </c>
      <c r="T27" s="31">
        <f t="shared" si="5"/>
        <v>0.99999993878953786</v>
      </c>
      <c r="U27" s="54">
        <f t="shared" ref="U27:U85" si="30">R27/$I27*40/R$14*10^6</f>
        <v>2538.7662304906066</v>
      </c>
      <c r="V27" s="31">
        <f t="shared" ref="V27:V85" si="31">S27/J27*40/6.94*10^6</f>
        <v>4.315902591834031</v>
      </c>
      <c r="W27" s="40"/>
      <c r="X27" s="17">
        <f t="shared" si="6"/>
        <v>12.550213011410392</v>
      </c>
      <c r="Y27" s="17">
        <f t="shared" ref="Y27:Y85" si="32">X27*Z$16</f>
        <v>12.537669071414308</v>
      </c>
      <c r="Z27" s="31">
        <f t="shared" si="7"/>
        <v>30.999998887363709</v>
      </c>
      <c r="AA27" s="31">
        <f t="shared" ref="AA27:AA85" si="33">(Y27/X$15-1)*1000</f>
        <v>29.969514216685369</v>
      </c>
      <c r="AB27" s="31">
        <f t="shared" si="8"/>
        <v>0.99999986052801726</v>
      </c>
      <c r="AC27" s="40"/>
      <c r="AD27" s="79">
        <f t="shared" ref="AD27:AD85" si="34">AD$4</f>
        <v>888888.88888888888</v>
      </c>
      <c r="AE27" s="79">
        <f t="shared" si="9"/>
        <v>480000</v>
      </c>
      <c r="AF27" s="31">
        <f t="shared" si="10"/>
        <v>0.99999993872884052</v>
      </c>
      <c r="AG27" s="68">
        <f t="shared" si="11"/>
        <v>2.0062175999355481E-3</v>
      </c>
      <c r="AH27" s="68">
        <f t="shared" ref="AH27:AH85" si="35">AH$4*AE$4/(AD$8*AD27)+(AG$4*AD$4/AD27*AI$16-AH$4*AE$4/(AD$8*AD27))*EXP(-$H27/AI$20)</f>
        <v>2.07121905017346E-3</v>
      </c>
      <c r="AI27" s="31">
        <f t="shared" ref="AI27:AI84" si="36">(AG27/AG$15-1)*1000</f>
        <v>-29.500000031178363</v>
      </c>
      <c r="AJ27" s="31">
        <f t="shared" ref="AJ27:AJ85" si="37">(AH27/AG$15-1)*1000</f>
        <v>1.9441999678115884</v>
      </c>
      <c r="AK27" s="31">
        <f t="shared" si="12"/>
        <v>0.99999997771192695</v>
      </c>
      <c r="AL27" s="40"/>
      <c r="AM27" s="79">
        <f t="shared" si="13"/>
        <v>35</v>
      </c>
      <c r="AN27" s="79">
        <f t="shared" si="14"/>
        <v>120000</v>
      </c>
      <c r="AO27" s="17"/>
      <c r="AP27" s="68">
        <f t="shared" si="15"/>
        <v>1.1254057111538183E-2</v>
      </c>
      <c r="AQ27" s="68">
        <f t="shared" ref="AQ27:AQ85" si="38">AQ$4*AN$4/(AM$8*AM27)+(AP$4*AM$4/AM27*AR$16-AQ$4*AN$4/(AM$8*AM27))*EXP(-$H27/AR$20)</f>
        <v>1.1265311168649719E-2</v>
      </c>
      <c r="AR27" s="31">
        <f t="shared" ref="AR27:AR85" si="39">(AP27/AP$15-1)*1000</f>
        <v>1.5001167139663263</v>
      </c>
      <c r="AS27" s="31">
        <f t="shared" ref="AS27:AS85" si="40">(AQ27/AP$15-1)*1000</f>
        <v>2.5016168306801756</v>
      </c>
      <c r="AT27" s="31">
        <f t="shared" ref="AT27:AT85" si="41">(AS27-$AS$4)/($AS$5-$AS$4)</f>
        <v>0.99915357013449946</v>
      </c>
      <c r="AU27" s="40"/>
      <c r="AV27" s="82">
        <f t="shared" si="16"/>
        <v>8.0003301337094683</v>
      </c>
      <c r="AW27" s="79">
        <f t="shared" si="17"/>
        <v>360.51659798727815</v>
      </c>
      <c r="AX27" s="18">
        <f t="shared" ref="AX27:AX85" si="42">AV27/$I27*40/AV$14*10^3</f>
        <v>8.6959109742360106</v>
      </c>
      <c r="AY27" s="31">
        <f t="shared" ref="AY27:AY85" si="43">AW27/$J27*40/AV$14*10^3</f>
        <v>0.43479554871180154</v>
      </c>
      <c r="AZ27" s="31">
        <f t="shared" si="18"/>
        <v>0.99999827805726282</v>
      </c>
      <c r="BA27" s="40"/>
      <c r="BB27" s="82">
        <f t="shared" si="19"/>
        <v>1249.9995040153653</v>
      </c>
      <c r="BC27" s="79">
        <f t="shared" si="20"/>
        <v>13518.809183374196</v>
      </c>
      <c r="BD27" s="31">
        <f t="shared" ref="BD27:BD85" si="44">BB27/$I27*40/BB$14</f>
        <v>4.8990739195126114</v>
      </c>
      <c r="BE27" s="17">
        <f t="shared" ref="BE27:BE85" si="45">BC27/$J27*40/BB$14</f>
        <v>5.8788887034151346E-2</v>
      </c>
      <c r="BF27" s="31">
        <f t="shared" si="21"/>
        <v>0.99999957151698238</v>
      </c>
      <c r="BG27" s="40"/>
      <c r="BH27" s="80">
        <f t="shared" si="22"/>
        <v>4.8000003188365721</v>
      </c>
      <c r="BI27" s="80">
        <f t="shared" si="23"/>
        <v>3.0282146597810744</v>
      </c>
      <c r="BJ27" s="18">
        <f t="shared" ref="BJ27:BJ85" si="46">BH27/$I27*40/BH$14*10^6</f>
        <v>41558.417939225517</v>
      </c>
      <c r="BK27" s="18">
        <f t="shared" ref="BK27:BK85" si="47">BI27/$J27*40/BH$14*10^6</f>
        <v>29.090892557457845</v>
      </c>
      <c r="BL27" s="31">
        <f t="shared" si="24"/>
        <v>0.99999997476763758</v>
      </c>
      <c r="BN27" s="31"/>
      <c r="BO27" s="31"/>
      <c r="BP27" s="31"/>
      <c r="BQ27" s="31">
        <v>0.99997717330830116</v>
      </c>
      <c r="BR27" s="31">
        <v>0.99999992801581639</v>
      </c>
      <c r="BS27" s="31">
        <v>0.99999988262549022</v>
      </c>
      <c r="BT27" s="31">
        <v>0.99999997771194093</v>
      </c>
      <c r="BU27" s="31">
        <v>0.99915357013449946</v>
      </c>
      <c r="BV27" s="31">
        <v>0.99999827805726282</v>
      </c>
      <c r="BW27" s="31">
        <v>0.99999957151698238</v>
      </c>
      <c r="BX27" s="31">
        <v>0.99999997476763758</v>
      </c>
      <c r="BY27" s="36"/>
      <c r="BZ27" s="36"/>
      <c r="CA27" s="83"/>
      <c r="CB27" s="83"/>
      <c r="CC27" s="83"/>
      <c r="CD27" s="83"/>
      <c r="CE27" s="83"/>
      <c r="CF27" s="83"/>
      <c r="CG27" s="83"/>
      <c r="CI27" s="31"/>
      <c r="CJ27" s="31"/>
    </row>
    <row r="28" spans="1:89" x14ac:dyDescent="0.2">
      <c r="A28" s="55"/>
      <c r="D28" s="54"/>
      <c r="E28" s="54"/>
      <c r="F28" s="31"/>
      <c r="G28" s="79"/>
      <c r="H28" s="36">
        <v>1.0101010101010101E-3</v>
      </c>
      <c r="I28" s="79">
        <f t="shared" si="25"/>
        <v>420.02687256721202</v>
      </c>
      <c r="J28" s="79">
        <f t="shared" si="26"/>
        <v>378551.02634609852</v>
      </c>
      <c r="K28" s="80">
        <f t="shared" si="27"/>
        <v>18.751199668179108</v>
      </c>
      <c r="L28" s="68">
        <f t="shared" si="0"/>
        <v>2.1199148833553703E-2</v>
      </c>
      <c r="M28" s="68">
        <f t="shared" si="1"/>
        <v>2.1199148833553703E-2</v>
      </c>
      <c r="N28" s="31">
        <f t="shared" si="2"/>
        <v>-0.50253079560991232</v>
      </c>
      <c r="O28" s="31">
        <f t="shared" si="3"/>
        <v>-0.50253079560991232</v>
      </c>
      <c r="P28" s="31">
        <f t="shared" si="28"/>
        <v>0.99769927671826153</v>
      </c>
      <c r="Q28" s="40"/>
      <c r="R28" s="81">
        <f t="shared" si="29"/>
        <v>0.18500127616916129</v>
      </c>
      <c r="S28" s="81">
        <f t="shared" si="4"/>
        <v>0.28344643360537564</v>
      </c>
      <c r="T28" s="31">
        <f t="shared" si="5"/>
        <v>0.99999382332678421</v>
      </c>
      <c r="U28" s="54">
        <f t="shared" si="30"/>
        <v>2538.6227544774656</v>
      </c>
      <c r="V28" s="31">
        <f t="shared" si="31"/>
        <v>4.3156586826116916</v>
      </c>
      <c r="W28" s="40"/>
      <c r="X28" s="17">
        <f t="shared" si="6"/>
        <v>12.550211658259803</v>
      </c>
      <c r="Y28" s="17">
        <f t="shared" si="32"/>
        <v>12.537667719616193</v>
      </c>
      <c r="Z28" s="31">
        <f t="shared" si="7"/>
        <v>30.999887726042896</v>
      </c>
      <c r="AA28" s="31">
        <f t="shared" si="33"/>
        <v>29.969403166470343</v>
      </c>
      <c r="AB28" s="31">
        <f t="shared" si="8"/>
        <v>0.99998592615301551</v>
      </c>
      <c r="AC28" s="40"/>
      <c r="AD28" s="79">
        <f t="shared" si="34"/>
        <v>888888.88888888888</v>
      </c>
      <c r="AE28" s="79">
        <f t="shared" si="9"/>
        <v>480000</v>
      </c>
      <c r="AF28" s="31">
        <f t="shared" si="10"/>
        <v>0.99999381720192559</v>
      </c>
      <c r="AG28" s="68">
        <f t="shared" si="11"/>
        <v>2.006217593496229E-3</v>
      </c>
      <c r="AH28" s="68">
        <f t="shared" si="35"/>
        <v>2.0712190435255066E-3</v>
      </c>
      <c r="AI28" s="31">
        <f t="shared" si="36"/>
        <v>-29.50000314617407</v>
      </c>
      <c r="AJ28" s="31">
        <f t="shared" si="37"/>
        <v>1.9441967518898373</v>
      </c>
      <c r="AK28" s="31">
        <f t="shared" si="12"/>
        <v>0.99999775092772047</v>
      </c>
      <c r="AL28" s="40"/>
      <c r="AM28" s="79">
        <f t="shared" si="13"/>
        <v>35</v>
      </c>
      <c r="AN28" s="79">
        <f t="shared" si="14"/>
        <v>120000</v>
      </c>
      <c r="AO28" s="17"/>
      <c r="AP28" s="68">
        <f t="shared" si="15"/>
        <v>1.1254187837455713E-2</v>
      </c>
      <c r="AQ28" s="68">
        <f t="shared" si="38"/>
        <v>1.1265442025293167E-2</v>
      </c>
      <c r="AR28" s="31">
        <f t="shared" si="39"/>
        <v>1.5117500316550458</v>
      </c>
      <c r="AS28" s="31">
        <f t="shared" si="40"/>
        <v>2.5132617816865377</v>
      </c>
      <c r="AT28" s="31">
        <f t="shared" si="41"/>
        <v>0.99449652052140292</v>
      </c>
      <c r="AU28" s="40"/>
      <c r="AV28" s="82">
        <f t="shared" si="16"/>
        <v>8.0333106270745418</v>
      </c>
      <c r="AW28" s="79">
        <f t="shared" si="17"/>
        <v>362.00278856556542</v>
      </c>
      <c r="AX28" s="18">
        <f t="shared" si="42"/>
        <v>8.7312058241160067</v>
      </c>
      <c r="AY28" s="31">
        <f t="shared" si="43"/>
        <v>0.43656029120579948</v>
      </c>
      <c r="AZ28" s="31">
        <f t="shared" si="18"/>
        <v>0.99982625526955704</v>
      </c>
      <c r="BA28" s="40"/>
      <c r="BB28" s="82">
        <f t="shared" si="19"/>
        <v>1249.9499517126937</v>
      </c>
      <c r="BC28" s="79">
        <f t="shared" si="20"/>
        <v>13518.273272662022</v>
      </c>
      <c r="BD28" s="31">
        <f t="shared" si="44"/>
        <v>4.8985693989924659</v>
      </c>
      <c r="BE28" s="17">
        <f t="shared" si="45"/>
        <v>5.8782832787909606E-2</v>
      </c>
      <c r="BF28" s="31">
        <f t="shared" si="21"/>
        <v>0.99995676309369741</v>
      </c>
      <c r="BG28" s="40"/>
      <c r="BH28" s="80">
        <f t="shared" si="22"/>
        <v>4.8000321734679954</v>
      </c>
      <c r="BI28" s="80">
        <f t="shared" si="23"/>
        <v>3.0282347561676266</v>
      </c>
      <c r="BJ28" s="18">
        <f t="shared" si="46"/>
        <v>41556.061264107484</v>
      </c>
      <c r="BK28" s="18">
        <f t="shared" si="47"/>
        <v>29.089242884875226</v>
      </c>
      <c r="BL28" s="31">
        <f t="shared" si="24"/>
        <v>0.99999745382845173</v>
      </c>
      <c r="BN28" s="31"/>
      <c r="BO28" s="31"/>
      <c r="BP28" s="31"/>
      <c r="BQ28" s="31">
        <v>0.99769927671826153</v>
      </c>
      <c r="BR28" s="31">
        <v>0.99999273616758144</v>
      </c>
      <c r="BS28" s="31">
        <v>0.99998815594108481</v>
      </c>
      <c r="BT28" s="31">
        <v>0.99999775092769838</v>
      </c>
      <c r="BU28" s="31">
        <v>0.99449652052140292</v>
      </c>
      <c r="BV28" s="31">
        <v>0.99982625526955704</v>
      </c>
      <c r="BW28" s="31">
        <v>0.99995676309369741</v>
      </c>
      <c r="BX28" s="31">
        <v>0.99999745382845173</v>
      </c>
      <c r="BY28" s="36"/>
      <c r="BZ28" s="36"/>
      <c r="CA28" s="83"/>
      <c r="CB28" s="83"/>
      <c r="CC28" s="83"/>
      <c r="CD28" s="83"/>
      <c r="CE28" s="83"/>
      <c r="CF28" s="83"/>
      <c r="CG28" s="83"/>
      <c r="CI28" s="31"/>
      <c r="CJ28" s="31"/>
    </row>
    <row r="29" spans="1:89" x14ac:dyDescent="0.2">
      <c r="A29" s="55"/>
      <c r="F29" s="31"/>
      <c r="G29" s="79"/>
      <c r="H29" s="36">
        <v>1.1111111111111099E-2</v>
      </c>
      <c r="I29" s="79">
        <f t="shared" si="25"/>
        <v>420.29231422547736</v>
      </c>
      <c r="J29" s="79">
        <f t="shared" si="26"/>
        <v>378790.25678284938</v>
      </c>
      <c r="K29" s="80">
        <f t="shared" si="27"/>
        <v>18.76304974220881</v>
      </c>
      <c r="L29" s="68">
        <f t="shared" si="0"/>
        <v>2.1198618985231198E-2</v>
      </c>
      <c r="M29" s="68">
        <f t="shared" si="1"/>
        <v>2.1198618985231198E-2</v>
      </c>
      <c r="N29" s="31">
        <f t="shared" si="2"/>
        <v>-0.52751208431933705</v>
      </c>
      <c r="O29" s="31">
        <f t="shared" si="3"/>
        <v>-0.52751208431933705</v>
      </c>
      <c r="P29" s="31">
        <f t="shared" si="28"/>
        <v>0.97498901425514817</v>
      </c>
      <c r="Q29" s="40"/>
      <c r="R29" s="81">
        <f t="shared" si="29"/>
        <v>0.18501403742724595</v>
      </c>
      <c r="S29" s="81">
        <f t="shared" si="4"/>
        <v>0.28346598554127206</v>
      </c>
      <c r="T29" s="31">
        <f t="shared" si="5"/>
        <v>0.99993205869290824</v>
      </c>
      <c r="U29" s="54">
        <f t="shared" si="30"/>
        <v>2537.194452570569</v>
      </c>
      <c r="V29" s="31">
        <f t="shared" si="31"/>
        <v>4.3132305693699671</v>
      </c>
      <c r="W29" s="40"/>
      <c r="X29" s="17">
        <f t="shared" si="6"/>
        <v>12.550197992861511</v>
      </c>
      <c r="Y29" s="17">
        <f t="shared" si="32"/>
        <v>12.537654067876469</v>
      </c>
      <c r="Z29" s="31">
        <f t="shared" si="7"/>
        <v>30.998765113573022</v>
      </c>
      <c r="AA29" s="31">
        <f t="shared" si="33"/>
        <v>29.968281676051809</v>
      </c>
      <c r="AB29" s="31">
        <f t="shared" si="8"/>
        <v>0.99984520361567453</v>
      </c>
      <c r="AC29" s="40"/>
      <c r="AD29" s="79">
        <f t="shared" si="34"/>
        <v>888888.88888888888</v>
      </c>
      <c r="AE29" s="79">
        <f t="shared" si="9"/>
        <v>480000</v>
      </c>
      <c r="AF29" s="31">
        <f t="shared" si="10"/>
        <v>0.99993199132362698</v>
      </c>
      <c r="AG29" s="68">
        <f t="shared" si="11"/>
        <v>2.0062175284593208E-3</v>
      </c>
      <c r="AH29" s="68">
        <f t="shared" si="35"/>
        <v>2.0712189763814029E-3</v>
      </c>
      <c r="AI29" s="31">
        <f t="shared" si="36"/>
        <v>-29.500034607526704</v>
      </c>
      <c r="AJ29" s="31">
        <f t="shared" si="37"/>
        <v>1.9441642711894858</v>
      </c>
      <c r="AK29" s="31">
        <f t="shared" si="12"/>
        <v>0.99997526048294028</v>
      </c>
      <c r="AL29" s="40"/>
      <c r="AM29" s="79">
        <f t="shared" si="13"/>
        <v>35</v>
      </c>
      <c r="AN29" s="79">
        <f t="shared" si="14"/>
        <v>120000</v>
      </c>
      <c r="AO29" s="17"/>
      <c r="AP29" s="68">
        <f t="shared" si="15"/>
        <v>1.1255474503880675E-2</v>
      </c>
      <c r="AQ29" s="68">
        <f t="shared" si="38"/>
        <v>1.1266729978384554E-2</v>
      </c>
      <c r="AR29" s="31">
        <f t="shared" si="39"/>
        <v>1.6262506568074375</v>
      </c>
      <c r="AS29" s="31">
        <f t="shared" si="40"/>
        <v>2.6278769074639108</v>
      </c>
      <c r="AT29" s="31">
        <f t="shared" si="41"/>
        <v>0.94865963148125854</v>
      </c>
      <c r="AU29" s="40"/>
      <c r="AV29" s="82">
        <f t="shared" si="16"/>
        <v>8.3660987486530303</v>
      </c>
      <c r="AW29" s="79">
        <f t="shared" si="17"/>
        <v>376.99912489630515</v>
      </c>
      <c r="AX29" s="18">
        <f t="shared" si="42"/>
        <v>9.0871622141517641</v>
      </c>
      <c r="AY29" s="31">
        <f t="shared" si="43"/>
        <v>0.45435811070758836</v>
      </c>
      <c r="AZ29" s="31">
        <f t="shared" si="18"/>
        <v>0.9980904673977482</v>
      </c>
      <c r="BA29" s="40"/>
      <c r="BB29" s="82">
        <f t="shared" si="19"/>
        <v>1249.4495878405164</v>
      </c>
      <c r="BC29" s="79">
        <f t="shared" si="20"/>
        <v>13512.861811546645</v>
      </c>
      <c r="BD29" s="31">
        <f t="shared" si="44"/>
        <v>4.8935159432271691</v>
      </c>
      <c r="BE29" s="17">
        <f t="shared" si="45"/>
        <v>5.8722191318726039E-2</v>
      </c>
      <c r="BF29" s="31">
        <f t="shared" si="21"/>
        <v>0.99952449683598943</v>
      </c>
      <c r="BG29" s="40"/>
      <c r="BH29" s="80">
        <f t="shared" si="22"/>
        <v>4.8003539036424137</v>
      </c>
      <c r="BI29" s="80">
        <f t="shared" si="23"/>
        <v>3.0284377286605331</v>
      </c>
      <c r="BJ29" s="18">
        <f t="shared" si="46"/>
        <v>41532.59954098719</v>
      </c>
      <c r="BK29" s="18">
        <f t="shared" si="47"/>
        <v>29.072819678691019</v>
      </c>
      <c r="BL29" s="31">
        <f t="shared" si="24"/>
        <v>0.99997199246953117</v>
      </c>
      <c r="BN29" s="31"/>
      <c r="BO29" s="31"/>
      <c r="BP29" s="31"/>
      <c r="BQ29" s="31">
        <v>0.97498901425514817</v>
      </c>
      <c r="BR29" s="31">
        <v>0.99992010074531268</v>
      </c>
      <c r="BS29" s="31">
        <v>0.99986972614517922</v>
      </c>
      <c r="BT29" s="31">
        <v>0.99997526048306518</v>
      </c>
      <c r="BU29" s="31">
        <v>0.94865963148125854</v>
      </c>
      <c r="BV29" s="31">
        <v>0.9980904673977482</v>
      </c>
      <c r="BW29" s="31">
        <v>0.99952449683598943</v>
      </c>
      <c r="BX29" s="31">
        <v>0.99997199246953117</v>
      </c>
      <c r="BY29" s="36"/>
      <c r="BZ29" s="36"/>
      <c r="CA29" s="83"/>
      <c r="CB29" s="83"/>
      <c r="CC29" s="83"/>
      <c r="CD29" s="83"/>
      <c r="CE29" s="83"/>
      <c r="CF29" s="83"/>
      <c r="CG29" s="83"/>
      <c r="CI29" s="31"/>
      <c r="CJ29" s="31"/>
    </row>
    <row r="30" spans="1:89" x14ac:dyDescent="0.2">
      <c r="B30" s="60"/>
      <c r="C30" s="31"/>
      <c r="D30" s="84"/>
      <c r="E30" s="84"/>
      <c r="F30" s="31"/>
      <c r="G30" s="79"/>
      <c r="H30" s="36">
        <v>0.05</v>
      </c>
      <c r="I30" s="79">
        <f t="shared" si="25"/>
        <v>421.26052686325568</v>
      </c>
      <c r="J30" s="79">
        <f t="shared" si="26"/>
        <v>379662.86258902575</v>
      </c>
      <c r="K30" s="80">
        <f t="shared" si="27"/>
        <v>18.806273520681057</v>
      </c>
      <c r="L30" s="68">
        <f t="shared" si="0"/>
        <v>2.1196691994884588E-2</v>
      </c>
      <c r="M30" s="68">
        <f t="shared" si="1"/>
        <v>2.1196691994884588E-2</v>
      </c>
      <c r="N30" s="31">
        <f t="shared" si="2"/>
        <v>-0.61836582518137728</v>
      </c>
      <c r="O30" s="31">
        <f t="shared" si="3"/>
        <v>-0.61836582518137728</v>
      </c>
      <c r="P30" s="31">
        <f t="shared" si="28"/>
        <v>0.89239470438056612</v>
      </c>
      <c r="Q30" s="40"/>
      <c r="R30" s="81">
        <f t="shared" si="29"/>
        <v>0.18506316091247796</v>
      </c>
      <c r="S30" s="81">
        <f t="shared" si="4"/>
        <v>0.28354124922044011</v>
      </c>
      <c r="T30" s="31">
        <f t="shared" si="5"/>
        <v>0.99969430046719598</v>
      </c>
      <c r="U30" s="54">
        <f t="shared" si="30"/>
        <v>2532.0351482561109</v>
      </c>
      <c r="V30" s="31">
        <f t="shared" si="31"/>
        <v>4.3044597520353882</v>
      </c>
      <c r="W30" s="40"/>
      <c r="X30" s="17">
        <f t="shared" si="6"/>
        <v>12.550145407328658</v>
      </c>
      <c r="Y30" s="17">
        <f t="shared" si="32"/>
        <v>12.537601534902866</v>
      </c>
      <c r="Z30" s="31">
        <f t="shared" si="7"/>
        <v>30.994445212049193</v>
      </c>
      <c r="AA30" s="31">
        <f t="shared" si="33"/>
        <v>29.963966092270368</v>
      </c>
      <c r="AB30" s="31">
        <f t="shared" si="8"/>
        <v>0.99930369216814319</v>
      </c>
      <c r="AC30" s="40"/>
      <c r="AD30" s="79">
        <f t="shared" si="34"/>
        <v>888888.88888888888</v>
      </c>
      <c r="AE30" s="79">
        <f t="shared" si="9"/>
        <v>480000</v>
      </c>
      <c r="AF30" s="31">
        <f t="shared" si="10"/>
        <v>0.99969399737755027</v>
      </c>
      <c r="AG30" s="68">
        <f t="shared" si="11"/>
        <v>2.0062172780808815E-3</v>
      </c>
      <c r="AH30" s="68">
        <f t="shared" si="35"/>
        <v>2.0712187178907023E-3</v>
      </c>
      <c r="AI30" s="31">
        <f t="shared" si="36"/>
        <v>-29.500155727127719</v>
      </c>
      <c r="AJ30" s="31">
        <f t="shared" si="37"/>
        <v>1.9440392273133433</v>
      </c>
      <c r="AK30" s="31">
        <f t="shared" si="12"/>
        <v>0.99988867699302031</v>
      </c>
      <c r="AL30" s="40"/>
      <c r="AM30" s="79">
        <f t="shared" si="13"/>
        <v>35</v>
      </c>
      <c r="AN30" s="79">
        <f t="shared" si="14"/>
        <v>120000</v>
      </c>
      <c r="AO30" s="17"/>
      <c r="AP30" s="68">
        <f t="shared" si="15"/>
        <v>1.1259898230727379E-2</v>
      </c>
      <c r="AQ30" s="68">
        <f t="shared" si="38"/>
        <v>1.1271158128958104E-2</v>
      </c>
      <c r="AR30" s="31">
        <f t="shared" si="39"/>
        <v>2.0199187277416542</v>
      </c>
      <c r="AS30" s="31">
        <f t="shared" si="40"/>
        <v>3.0219386464693798</v>
      </c>
      <c r="AT30" s="31">
        <f t="shared" si="41"/>
        <v>0.79106643352199002</v>
      </c>
      <c r="AU30" s="40"/>
      <c r="AV30" s="82">
        <f t="shared" si="16"/>
        <v>9.6419478877394909</v>
      </c>
      <c r="AW30" s="79">
        <f t="shared" si="17"/>
        <v>434.49235123585095</v>
      </c>
      <c r="AX30" s="18">
        <f t="shared" si="42"/>
        <v>10.448904402239867</v>
      </c>
      <c r="AY30" s="31">
        <f t="shared" si="43"/>
        <v>0.52244522011199346</v>
      </c>
      <c r="AZ30" s="31">
        <f t="shared" si="18"/>
        <v>0.99143577235821512</v>
      </c>
      <c r="BA30" s="40"/>
      <c r="BB30" s="82">
        <f t="shared" si="19"/>
        <v>1247.525205532213</v>
      </c>
      <c r="BC30" s="79">
        <f t="shared" si="20"/>
        <v>13492.049517511134</v>
      </c>
      <c r="BD30" s="31">
        <f t="shared" si="44"/>
        <v>4.8747492395399066</v>
      </c>
      <c r="BE30" s="17">
        <f t="shared" si="45"/>
        <v>5.8496990874478905E-2</v>
      </c>
      <c r="BF30" s="31">
        <f t="shared" si="21"/>
        <v>0.99786201561969001</v>
      </c>
      <c r="BG30" s="40"/>
      <c r="BH30" s="80">
        <f t="shared" si="22"/>
        <v>4.8015924883359364</v>
      </c>
      <c r="BI30" s="80">
        <f t="shared" si="23"/>
        <v>3.029219124509944</v>
      </c>
      <c r="BJ30" s="18">
        <f t="shared" si="46"/>
        <v>41447.833841050444</v>
      </c>
      <c r="BK30" s="18">
        <f t="shared" si="47"/>
        <v>29.013483688735306</v>
      </c>
      <c r="BL30" s="31">
        <f t="shared" si="24"/>
        <v>0.99987397229006747</v>
      </c>
      <c r="BN30" s="31"/>
      <c r="BO30" s="31"/>
      <c r="BP30" s="31"/>
      <c r="BQ30" s="31">
        <v>0.89239470438056612</v>
      </c>
      <c r="BR30" s="31">
        <v>0.99964050362370149</v>
      </c>
      <c r="BS30" s="31">
        <v>0.99941395457517934</v>
      </c>
      <c r="BT30" s="31">
        <v>0.99988867699302186</v>
      </c>
      <c r="BU30" s="31">
        <v>0.79106643352199002</v>
      </c>
      <c r="BV30" s="31">
        <v>0.99143577235821512</v>
      </c>
      <c r="BW30" s="31">
        <v>0.99786201561969001</v>
      </c>
      <c r="BX30" s="31">
        <v>0.99987397229006747</v>
      </c>
      <c r="BY30" s="36"/>
      <c r="BZ30" s="36"/>
      <c r="CA30" s="83"/>
      <c r="CB30" s="83"/>
      <c r="CC30" s="83"/>
      <c r="CD30" s="83"/>
      <c r="CE30" s="83"/>
      <c r="CF30" s="83"/>
      <c r="CG30" s="83"/>
      <c r="CI30" s="31"/>
      <c r="CJ30" s="31"/>
    </row>
    <row r="31" spans="1:89" x14ac:dyDescent="0.2">
      <c r="B31" s="18"/>
      <c r="F31" s="31"/>
      <c r="G31" s="79"/>
      <c r="H31" s="36">
        <v>0.1</v>
      </c>
      <c r="I31" s="79">
        <f t="shared" si="25"/>
        <v>422.3887904343469</v>
      </c>
      <c r="J31" s="79">
        <f t="shared" si="26"/>
        <v>380679.71498757595</v>
      </c>
      <c r="K31" s="80">
        <f t="shared" si="27"/>
        <v>18.856642430104774</v>
      </c>
      <c r="L31" s="68">
        <f t="shared" si="0"/>
        <v>2.1194457607749725E-2</v>
      </c>
      <c r="M31" s="68">
        <f t="shared" si="1"/>
        <v>2.1194457607749725E-2</v>
      </c>
      <c r="N31" s="31">
        <f t="shared" si="2"/>
        <v>-0.72371270981586022</v>
      </c>
      <c r="O31" s="31">
        <f t="shared" si="3"/>
        <v>-0.72371270981586022</v>
      </c>
      <c r="P31" s="31">
        <f t="shared" si="28"/>
        <v>0.79662480925830892</v>
      </c>
      <c r="Q31" s="40"/>
      <c r="R31" s="81">
        <f t="shared" si="29"/>
        <v>0.18512630251669451</v>
      </c>
      <c r="S31" s="81">
        <f t="shared" si="4"/>
        <v>0.28363799051270527</v>
      </c>
      <c r="T31" s="31">
        <f t="shared" si="5"/>
        <v>0.99938869438659594</v>
      </c>
      <c r="U31" s="54">
        <f t="shared" si="30"/>
        <v>2526.1333001948165</v>
      </c>
      <c r="V31" s="31">
        <f t="shared" si="31"/>
        <v>4.294426610331187</v>
      </c>
      <c r="W31" s="40"/>
      <c r="X31" s="17">
        <f t="shared" si="6"/>
        <v>12.550077858537481</v>
      </c>
      <c r="Y31" s="17">
        <f t="shared" si="32"/>
        <v>12.537534053626716</v>
      </c>
      <c r="Z31" s="31">
        <f t="shared" si="7"/>
        <v>30.988896078854022</v>
      </c>
      <c r="AA31" s="31">
        <f t="shared" si="33"/>
        <v>29.95842250543479</v>
      </c>
      <c r="AB31" s="31">
        <f t="shared" si="8"/>
        <v>0.99860809317531185</v>
      </c>
      <c r="AC31" s="40"/>
      <c r="AD31" s="79">
        <f t="shared" si="34"/>
        <v>888888.88888888888</v>
      </c>
      <c r="AE31" s="79">
        <f t="shared" si="9"/>
        <v>480000</v>
      </c>
      <c r="AF31" s="31">
        <f t="shared" si="10"/>
        <v>0.99938808839270554</v>
      </c>
      <c r="AG31" s="68">
        <f t="shared" si="11"/>
        <v>2.0062169561976002E-3</v>
      </c>
      <c r="AH31" s="68">
        <f t="shared" si="35"/>
        <v>2.0712183855784026E-3</v>
      </c>
      <c r="AI31" s="31">
        <f t="shared" si="36"/>
        <v>-29.500311436919446</v>
      </c>
      <c r="AJ31" s="31">
        <f t="shared" si="37"/>
        <v>1.9438784725245295</v>
      </c>
      <c r="AK31" s="31">
        <f t="shared" si="12"/>
        <v>0.9997773663789683</v>
      </c>
      <c r="AL31" s="40"/>
      <c r="AM31" s="79">
        <f t="shared" si="13"/>
        <v>35</v>
      </c>
      <c r="AN31" s="79">
        <f t="shared" si="14"/>
        <v>120000</v>
      </c>
      <c r="AO31" s="17"/>
      <c r="AP31" s="68">
        <f t="shared" si="15"/>
        <v>1.1264523680570288E-2</v>
      </c>
      <c r="AQ31" s="68">
        <f t="shared" si="38"/>
        <v>1.1275788204250858E-2</v>
      </c>
      <c r="AR31" s="31">
        <f t="shared" si="39"/>
        <v>2.431538156328017</v>
      </c>
      <c r="AS31" s="31">
        <f t="shared" si="40"/>
        <v>3.4339696944842846</v>
      </c>
      <c r="AT31" s="31">
        <f t="shared" si="41"/>
        <v>0.6262869482589547</v>
      </c>
      <c r="AU31" s="40"/>
      <c r="AV31" s="82">
        <f t="shared" si="16"/>
        <v>11.269833759992395</v>
      </c>
      <c r="AW31" s="79">
        <f t="shared" si="17"/>
        <v>507.84930860731583</v>
      </c>
      <c r="AX31" s="18">
        <f t="shared" si="42"/>
        <v>12.180408907281411</v>
      </c>
      <c r="AY31" s="31">
        <f t="shared" si="43"/>
        <v>0.60902044536407096</v>
      </c>
      <c r="AZ31" s="31">
        <f t="shared" si="18"/>
        <v>0.98294489071153068</v>
      </c>
      <c r="BA31" s="40"/>
      <c r="BB31" s="82">
        <f t="shared" si="19"/>
        <v>1245.0557021363434</v>
      </c>
      <c r="BC31" s="79">
        <f t="shared" si="20"/>
        <v>13465.341710764635</v>
      </c>
      <c r="BD31" s="31">
        <f t="shared" si="44"/>
        <v>4.852104159064683</v>
      </c>
      <c r="BE31" s="17">
        <f t="shared" si="45"/>
        <v>5.82252499087762E-2</v>
      </c>
      <c r="BF31" s="31">
        <f t="shared" si="21"/>
        <v>0.99572860221659032</v>
      </c>
      <c r="BG31" s="40"/>
      <c r="BH31" s="80">
        <f t="shared" si="22"/>
        <v>4.8031847759742163</v>
      </c>
      <c r="BI31" s="80">
        <f t="shared" si="23"/>
        <v>3.030223663770057</v>
      </c>
      <c r="BJ31" s="18">
        <f t="shared" si="46"/>
        <v>41350.828558038804</v>
      </c>
      <c r="BK31" s="18">
        <f t="shared" si="47"/>
        <v>28.945579990627152</v>
      </c>
      <c r="BL31" s="31">
        <f t="shared" si="24"/>
        <v>0.99974796046311853</v>
      </c>
      <c r="BN31" s="31"/>
      <c r="BO31" s="31"/>
      <c r="BP31" s="31"/>
      <c r="BQ31" s="31">
        <v>0.79662480925830892</v>
      </c>
      <c r="BR31" s="31">
        <v>0.99928113648504746</v>
      </c>
      <c r="BS31" s="31">
        <v>0.99882838947881525</v>
      </c>
      <c r="BT31" s="31">
        <v>0.99977736637893722</v>
      </c>
      <c r="BU31" s="31">
        <v>0.6262869482589547</v>
      </c>
      <c r="BV31" s="31">
        <v>0.98294489071153068</v>
      </c>
      <c r="BW31" s="31">
        <v>0.99572860221659032</v>
      </c>
      <c r="BX31" s="31">
        <v>0.99974796046311853</v>
      </c>
      <c r="BY31" s="36"/>
      <c r="BZ31" s="36"/>
      <c r="CA31" s="83"/>
      <c r="CB31" s="83"/>
      <c r="CC31" s="83"/>
      <c r="CD31" s="83"/>
      <c r="CE31" s="83"/>
      <c r="CF31" s="83"/>
      <c r="CG31" s="83"/>
      <c r="CI31" s="31"/>
      <c r="CJ31" s="31"/>
    </row>
    <row r="32" spans="1:89" x14ac:dyDescent="0.2">
      <c r="B32" s="60"/>
      <c r="F32" s="31"/>
      <c r="G32" s="79"/>
      <c r="H32" s="36">
        <v>0.14942528735632185</v>
      </c>
      <c r="I32" s="79">
        <f t="shared" si="25"/>
        <v>423.38768538922187</v>
      </c>
      <c r="J32" s="79">
        <f t="shared" si="26"/>
        <v>381579.97336406668</v>
      </c>
      <c r="K32" s="80">
        <f t="shared" si="27"/>
        <v>18.901235954875975</v>
      </c>
      <c r="L32" s="68">
        <f t="shared" si="0"/>
        <v>2.1192489357930267E-2</v>
      </c>
      <c r="M32" s="68">
        <f t="shared" si="1"/>
        <v>2.1192489357930267E-2</v>
      </c>
      <c r="N32" s="31">
        <f t="shared" si="2"/>
        <v>-0.81651175230368356</v>
      </c>
      <c r="O32" s="31">
        <f t="shared" si="3"/>
        <v>-0.81651175230368356</v>
      </c>
      <c r="P32" s="31">
        <f t="shared" si="28"/>
        <v>0.71226204336028764</v>
      </c>
      <c r="Q32" s="40"/>
      <c r="R32" s="81">
        <f t="shared" si="29"/>
        <v>0.1851886993844884</v>
      </c>
      <c r="S32" s="81">
        <f t="shared" si="4"/>
        <v>0.2837335907702308</v>
      </c>
      <c r="T32" s="31">
        <f t="shared" si="5"/>
        <v>0.99908669283872897</v>
      </c>
      <c r="U32" s="54">
        <f t="shared" si="30"/>
        <v>2521.0228405429161</v>
      </c>
      <c r="V32" s="31">
        <f t="shared" si="31"/>
        <v>4.2857388289229572</v>
      </c>
      <c r="W32" s="40"/>
      <c r="X32" s="17">
        <f t="shared" si="6"/>
        <v>12.550011153723423</v>
      </c>
      <c r="Y32" s="17">
        <f t="shared" si="32"/>
        <v>12.53746741548413</v>
      </c>
      <c r="Z32" s="31">
        <f t="shared" si="7"/>
        <v>30.983416278379082</v>
      </c>
      <c r="AA32" s="31">
        <f t="shared" si="33"/>
        <v>29.952948182021323</v>
      </c>
      <c r="AB32" s="31">
        <f t="shared" si="8"/>
        <v>0.99792118522821482</v>
      </c>
      <c r="AC32" s="40"/>
      <c r="AD32" s="79">
        <f t="shared" si="34"/>
        <v>888888.88888888888</v>
      </c>
      <c r="AE32" s="79">
        <f t="shared" si="9"/>
        <v>480000</v>
      </c>
      <c r="AF32" s="31">
        <f t="shared" si="10"/>
        <v>0.99908578760438471</v>
      </c>
      <c r="AG32" s="68">
        <f t="shared" si="11"/>
        <v>2.0062166380493442E-3</v>
      </c>
      <c r="AH32" s="68">
        <f t="shared" si="35"/>
        <v>2.0712180571221431E-3</v>
      </c>
      <c r="AI32" s="31">
        <f t="shared" si="36"/>
        <v>-29.500465339907024</v>
      </c>
      <c r="AJ32" s="31">
        <f t="shared" si="37"/>
        <v>1.9437195830800391</v>
      </c>
      <c r="AK32" s="31">
        <f t="shared" si="12"/>
        <v>0.99966734737572061</v>
      </c>
      <c r="AL32" s="40"/>
      <c r="AM32" s="79">
        <f t="shared" si="13"/>
        <v>35</v>
      </c>
      <c r="AN32" s="79">
        <f t="shared" si="14"/>
        <v>120000</v>
      </c>
      <c r="AO32" s="17"/>
      <c r="AP32" s="68">
        <f t="shared" si="15"/>
        <v>1.1268148229948568E-2</v>
      </c>
      <c r="AQ32" s="68">
        <f t="shared" si="38"/>
        <v>1.1279416378178517E-2</v>
      </c>
      <c r="AR32" s="31">
        <f t="shared" si="39"/>
        <v>2.7540873125484477</v>
      </c>
      <c r="AS32" s="31">
        <f t="shared" si="40"/>
        <v>3.7568413998609884</v>
      </c>
      <c r="AT32" s="31">
        <f t="shared" si="41"/>
        <v>0.49716407347975333</v>
      </c>
      <c r="AU32" s="40"/>
      <c r="AV32" s="82">
        <f t="shared" si="16"/>
        <v>12.86530571580073</v>
      </c>
      <c r="AW32" s="79">
        <f t="shared" si="17"/>
        <v>579.74560689487589</v>
      </c>
      <c r="AX32" s="18">
        <f t="shared" si="42"/>
        <v>13.871985660114541</v>
      </c>
      <c r="AY32" s="31">
        <f t="shared" si="43"/>
        <v>0.69359928300572804</v>
      </c>
      <c r="AZ32" s="31">
        <f t="shared" si="18"/>
        <v>0.97462307664687231</v>
      </c>
      <c r="BA32" s="40"/>
      <c r="BB32" s="82">
        <f t="shared" si="19"/>
        <v>1242.6197729576302</v>
      </c>
      <c r="BC32" s="79">
        <f t="shared" si="20"/>
        <v>13438.997010910394</v>
      </c>
      <c r="BD32" s="31">
        <f t="shared" si="44"/>
        <v>4.8311859731192524</v>
      </c>
      <c r="BE32" s="17">
        <f t="shared" si="45"/>
        <v>5.7974231677431036E-2</v>
      </c>
      <c r="BF32" s="31">
        <f t="shared" si="21"/>
        <v>0.99362419370775457</v>
      </c>
      <c r="BG32" s="40"/>
      <c r="BH32" s="80">
        <f t="shared" si="22"/>
        <v>4.8047585642298856</v>
      </c>
      <c r="BI32" s="80">
        <f t="shared" si="23"/>
        <v>3.0312165321764422</v>
      </c>
      <c r="BJ32" s="18">
        <f t="shared" si="46"/>
        <v>41266.786747494501</v>
      </c>
      <c r="BK32" s="18">
        <f t="shared" si="47"/>
        <v>28.886750723246148</v>
      </c>
      <c r="BL32" s="31">
        <f t="shared" si="24"/>
        <v>0.99962341265620214</v>
      </c>
      <c r="BN32" s="31"/>
      <c r="BO32" s="31"/>
      <c r="BP32" s="31"/>
      <c r="BQ32" s="31">
        <v>0.71226204336028764</v>
      </c>
      <c r="BR32" s="31">
        <v>0.9989260269756185</v>
      </c>
      <c r="BS32" s="31">
        <v>0.99825002655329398</v>
      </c>
      <c r="BT32" s="31">
        <v>0.99966734737568896</v>
      </c>
      <c r="BU32" s="31">
        <v>0.49716407347975333</v>
      </c>
      <c r="BV32" s="31">
        <v>0.97462307664687231</v>
      </c>
      <c r="BW32" s="31">
        <v>0.99362419370775457</v>
      </c>
      <c r="BX32" s="31">
        <v>0.99962341265620214</v>
      </c>
      <c r="BY32" s="36"/>
      <c r="BZ32" s="36"/>
      <c r="CA32" s="83"/>
      <c r="CB32" s="83"/>
      <c r="CC32" s="83"/>
      <c r="CD32" s="83"/>
      <c r="CE32" s="83"/>
      <c r="CF32" s="83"/>
      <c r="CG32" s="83"/>
      <c r="CI32" s="31"/>
      <c r="CJ32" s="31"/>
    </row>
    <row r="33" spans="1:88" x14ac:dyDescent="0.2">
      <c r="B33" s="18"/>
      <c r="F33" s="31"/>
      <c r="G33" s="79"/>
      <c r="H33" s="36">
        <v>0.16279069767441862</v>
      </c>
      <c r="I33" s="79">
        <f t="shared" si="25"/>
        <v>423.63952447984627</v>
      </c>
      <c r="J33" s="79">
        <f t="shared" si="26"/>
        <v>381806.94442819711</v>
      </c>
      <c r="K33" s="80">
        <f t="shared" si="27"/>
        <v>18.912478771421711</v>
      </c>
      <c r="L33" s="68">
        <f t="shared" si="0"/>
        <v>2.1191994592377045E-2</v>
      </c>
      <c r="M33" s="68">
        <f t="shared" si="1"/>
        <v>2.1191994592377045E-2</v>
      </c>
      <c r="N33" s="31">
        <f t="shared" si="2"/>
        <v>-0.83983895860695323</v>
      </c>
      <c r="O33" s="31">
        <f t="shared" si="3"/>
        <v>-0.83983895860695323</v>
      </c>
      <c r="P33" s="31">
        <f t="shared" si="28"/>
        <v>0.69105549217549711</v>
      </c>
      <c r="Q33" s="40"/>
      <c r="R33" s="81">
        <f t="shared" si="29"/>
        <v>0.18520556928436926</v>
      </c>
      <c r="S33" s="81">
        <f t="shared" si="4"/>
        <v>0.28375943768899553</v>
      </c>
      <c r="T33" s="31">
        <f t="shared" si="5"/>
        <v>0.99900504233195653</v>
      </c>
      <c r="U33" s="54">
        <f t="shared" si="30"/>
        <v>2519.753697282672</v>
      </c>
      <c r="V33" s="31">
        <f t="shared" si="31"/>
        <v>4.2835812853805431</v>
      </c>
      <c r="W33" s="40"/>
      <c r="X33" s="17">
        <f t="shared" si="6"/>
        <v>12.549993127169136</v>
      </c>
      <c r="Y33" s="17">
        <f t="shared" si="32"/>
        <v>12.537449406947388</v>
      </c>
      <c r="Z33" s="31">
        <f t="shared" si="7"/>
        <v>30.981935396944493</v>
      </c>
      <c r="AA33" s="31">
        <f t="shared" si="33"/>
        <v>29.951468780727851</v>
      </c>
      <c r="AB33" s="31">
        <f t="shared" si="8"/>
        <v>0.99773555269820324</v>
      </c>
      <c r="AC33" s="40"/>
      <c r="AD33" s="79">
        <f t="shared" si="34"/>
        <v>888888.88888888888</v>
      </c>
      <c r="AE33" s="79">
        <f t="shared" si="9"/>
        <v>480000</v>
      </c>
      <c r="AF33" s="31">
        <f t="shared" si="10"/>
        <v>0.9990040562091671</v>
      </c>
      <c r="AG33" s="68">
        <f t="shared" si="11"/>
        <v>2.0062165520228388E-3</v>
      </c>
      <c r="AH33" s="68">
        <f t="shared" si="35"/>
        <v>2.071217968308379E-3</v>
      </c>
      <c r="AI33" s="31">
        <f t="shared" si="36"/>
        <v>-29.500506954896032</v>
      </c>
      <c r="AJ33" s="31">
        <f t="shared" si="37"/>
        <v>1.9436766197653554</v>
      </c>
      <c r="AK33" s="31">
        <f t="shared" si="12"/>
        <v>0.99963759850805423</v>
      </c>
      <c r="AL33" s="40"/>
      <c r="AM33" s="79">
        <f t="shared" si="13"/>
        <v>35</v>
      </c>
      <c r="AN33" s="79">
        <f t="shared" si="14"/>
        <v>120000</v>
      </c>
      <c r="AO33" s="17"/>
      <c r="AP33" s="68">
        <f t="shared" si="15"/>
        <v>1.1268992922730791E-2</v>
      </c>
      <c r="AQ33" s="68">
        <f t="shared" si="38"/>
        <v>1.1280261915653523E-2</v>
      </c>
      <c r="AR33" s="31">
        <f t="shared" si="39"/>
        <v>2.8292566414045428</v>
      </c>
      <c r="AS33" s="31">
        <f t="shared" si="40"/>
        <v>3.832085898046067</v>
      </c>
      <c r="AT33" s="31">
        <f t="shared" si="41"/>
        <v>0.46707228855347721</v>
      </c>
      <c r="AU33" s="40"/>
      <c r="AV33" s="82">
        <f t="shared" si="16"/>
        <v>13.294422560001465</v>
      </c>
      <c r="AW33" s="79">
        <f t="shared" si="17"/>
        <v>599.08277701469888</v>
      </c>
      <c r="AX33" s="18">
        <f t="shared" si="42"/>
        <v>14.326158416185276</v>
      </c>
      <c r="AY33" s="31">
        <f t="shared" si="43"/>
        <v>0.71630792080926498</v>
      </c>
      <c r="AZ33" s="31">
        <f t="shared" si="18"/>
        <v>0.97238484828036864</v>
      </c>
      <c r="BA33" s="40"/>
      <c r="BB33" s="82">
        <f t="shared" si="19"/>
        <v>1241.9619424194689</v>
      </c>
      <c r="BC33" s="79">
        <f t="shared" si="20"/>
        <v>13431.882539671138</v>
      </c>
      <c r="BD33" s="31">
        <f t="shared" si="44"/>
        <v>4.825757938264811</v>
      </c>
      <c r="BE33" s="17">
        <f t="shared" si="45"/>
        <v>5.7909095259177742E-2</v>
      </c>
      <c r="BF33" s="31">
        <f t="shared" si="21"/>
        <v>0.99305589139667894</v>
      </c>
      <c r="BG33" s="40"/>
      <c r="BH33" s="80">
        <f t="shared" si="22"/>
        <v>4.8051841087707601</v>
      </c>
      <c r="BI33" s="80">
        <f t="shared" si="23"/>
        <v>3.0314849988704982</v>
      </c>
      <c r="BJ33" s="18">
        <f t="shared" si="46"/>
        <v>41245.907781198206</v>
      </c>
      <c r="BK33" s="18">
        <f t="shared" si="47"/>
        <v>28.87213544683874</v>
      </c>
      <c r="BL33" s="31">
        <f t="shared" si="24"/>
        <v>0.99958973554676878</v>
      </c>
      <c r="BN33" s="31"/>
      <c r="BO33" s="31"/>
      <c r="BP33" s="31"/>
      <c r="BQ33" s="31">
        <v>0.69105549217549711</v>
      </c>
      <c r="BR33" s="31">
        <v>0.99883002120402165</v>
      </c>
      <c r="BS33" s="31">
        <v>0.99809370816771659</v>
      </c>
      <c r="BT33" s="31">
        <v>0.99963759850801082</v>
      </c>
      <c r="BU33" s="31">
        <v>0.46707228855347721</v>
      </c>
      <c r="BV33" s="31">
        <v>0.97238484828036864</v>
      </c>
      <c r="BW33" s="31">
        <v>0.99305589139667894</v>
      </c>
      <c r="BX33" s="31">
        <v>0.99958973554676878</v>
      </c>
      <c r="BY33" s="36"/>
      <c r="BZ33" s="36"/>
      <c r="CA33" s="83"/>
      <c r="CB33" s="83"/>
      <c r="CC33" s="83"/>
      <c r="CD33" s="83"/>
      <c r="CE33" s="83"/>
      <c r="CF33" s="83"/>
      <c r="CG33" s="83"/>
      <c r="CI33" s="31"/>
      <c r="CJ33" s="31"/>
    </row>
    <row r="34" spans="1:88" x14ac:dyDescent="0.2">
      <c r="B34" s="60"/>
      <c r="F34" s="31"/>
      <c r="G34" s="79"/>
      <c r="H34" s="36">
        <v>0.25</v>
      </c>
      <c r="I34" s="79">
        <f t="shared" si="25"/>
        <v>425.11165320240758</v>
      </c>
      <c r="J34" s="79">
        <f t="shared" si="26"/>
        <v>383133.70677421812</v>
      </c>
      <c r="K34" s="80">
        <f t="shared" si="27"/>
        <v>18.978198803678911</v>
      </c>
      <c r="L34" s="68">
        <f t="shared" si="0"/>
        <v>2.1189114162472308E-2</v>
      </c>
      <c r="M34" s="68">
        <f t="shared" si="1"/>
        <v>2.1189114162472308E-2</v>
      </c>
      <c r="N34" s="31">
        <f t="shared" si="2"/>
        <v>-0.97564546775552596</v>
      </c>
      <c r="O34" s="31">
        <f t="shared" si="3"/>
        <v>-0.97564546775552596</v>
      </c>
      <c r="P34" s="31">
        <f t="shared" si="28"/>
        <v>0.56759502931315819</v>
      </c>
      <c r="Q34" s="40"/>
      <c r="R34" s="81">
        <f t="shared" si="29"/>
        <v>0.18531561153879172</v>
      </c>
      <c r="S34" s="81">
        <f t="shared" si="4"/>
        <v>0.28392803698305347</v>
      </c>
      <c r="T34" s="31">
        <f t="shared" si="5"/>
        <v>0.99847243657238338</v>
      </c>
      <c r="U34" s="54">
        <f t="shared" si="30"/>
        <v>2512.5199447770515</v>
      </c>
      <c r="V34" s="31">
        <f t="shared" si="31"/>
        <v>4.2712839061209884</v>
      </c>
      <c r="W34" s="40"/>
      <c r="X34" s="17">
        <f t="shared" si="6"/>
        <v>12.549875624170806</v>
      </c>
      <c r="Y34" s="17">
        <f t="shared" si="32"/>
        <v>12.537332021393324</v>
      </c>
      <c r="Z34" s="31">
        <f t="shared" si="7"/>
        <v>30.972282525631776</v>
      </c>
      <c r="AA34" s="31">
        <f t="shared" si="33"/>
        <v>29.941825557461499</v>
      </c>
      <c r="AB34" s="31">
        <f t="shared" si="8"/>
        <v>0.9965255389308324</v>
      </c>
      <c r="AC34" s="40"/>
      <c r="AD34" s="79">
        <f t="shared" si="34"/>
        <v>888888.88888888888</v>
      </c>
      <c r="AE34" s="79">
        <f t="shared" si="9"/>
        <v>480000</v>
      </c>
      <c r="AF34" s="31">
        <f t="shared" si="10"/>
        <v>0.99847092297731133</v>
      </c>
      <c r="AG34" s="68">
        <f t="shared" si="11"/>
        <v>2.0062159907627379E-3</v>
      </c>
      <c r="AH34" s="68">
        <f t="shared" si="35"/>
        <v>2.0712173888634508E-3</v>
      </c>
      <c r="AI34" s="31">
        <f t="shared" si="36"/>
        <v>-29.500778462297816</v>
      </c>
      <c r="AJ34" s="31">
        <f t="shared" si="37"/>
        <v>1.9433963155237599</v>
      </c>
      <c r="AK34" s="31">
        <f t="shared" si="12"/>
        <v>0.99944350887947409</v>
      </c>
      <c r="AL34" s="40"/>
      <c r="AM34" s="79">
        <f t="shared" si="13"/>
        <v>35</v>
      </c>
      <c r="AN34" s="79">
        <f t="shared" si="14"/>
        <v>120000</v>
      </c>
      <c r="AO34" s="17"/>
      <c r="AP34" s="68">
        <f t="shared" si="15"/>
        <v>1.1273380101982257E-2</v>
      </c>
      <c r="AQ34" s="68">
        <f t="shared" si="38"/>
        <v>1.1284653482084241E-2</v>
      </c>
      <c r="AR34" s="31">
        <f t="shared" si="39"/>
        <v>3.2196723367261537</v>
      </c>
      <c r="AS34" s="31">
        <f t="shared" si="40"/>
        <v>4.2228920090630062</v>
      </c>
      <c r="AT34" s="31">
        <f t="shared" si="41"/>
        <v>0.31078108156489515</v>
      </c>
      <c r="AU34" s="40"/>
      <c r="AV34" s="82">
        <f t="shared" si="16"/>
        <v>16.070318438719653</v>
      </c>
      <c r="AW34" s="79">
        <f t="shared" si="17"/>
        <v>724.17218230632352</v>
      </c>
      <c r="AX34" s="18">
        <f t="shared" si="42"/>
        <v>17.25751322883448</v>
      </c>
      <c r="AY34" s="31">
        <f t="shared" si="43"/>
        <v>0.86287566144172445</v>
      </c>
      <c r="AZ34" s="31">
        <f t="shared" si="18"/>
        <v>0.95790606707619497</v>
      </c>
      <c r="BA34" s="40"/>
      <c r="BB34" s="82">
        <f t="shared" si="19"/>
        <v>1237.6788253788168</v>
      </c>
      <c r="BC34" s="79">
        <f t="shared" si="20"/>
        <v>13385.560407704981</v>
      </c>
      <c r="BD34" s="31">
        <f t="shared" si="44"/>
        <v>4.792461896664336</v>
      </c>
      <c r="BE34" s="17">
        <f t="shared" si="45"/>
        <v>5.750954275997204E-2</v>
      </c>
      <c r="BF34" s="31">
        <f t="shared" si="21"/>
        <v>0.98935569024820003</v>
      </c>
      <c r="BG34" s="40"/>
      <c r="BH34" s="80">
        <f t="shared" si="22"/>
        <v>4.8079604349560228</v>
      </c>
      <c r="BI34" s="80">
        <f t="shared" si="23"/>
        <v>3.0332365220155175</v>
      </c>
      <c r="BJ34" s="18">
        <f t="shared" si="46"/>
        <v>41126.824821301227</v>
      </c>
      <c r="BK34" s="18">
        <f t="shared" si="47"/>
        <v>28.78877737491084</v>
      </c>
      <c r="BL34" s="31">
        <f t="shared" si="24"/>
        <v>0.99937002026015809</v>
      </c>
      <c r="BN34" s="31"/>
      <c r="BO34" s="31"/>
      <c r="BP34" s="31"/>
      <c r="BQ34" s="31">
        <v>0.56759502931315819</v>
      </c>
      <c r="BR34" s="31">
        <v>0.99820381003043146</v>
      </c>
      <c r="BS34" s="31">
        <v>0.99707457063830907</v>
      </c>
      <c r="BT34" s="31">
        <v>0.99944350887949118</v>
      </c>
      <c r="BU34" s="31">
        <v>0.31078108156489515</v>
      </c>
      <c r="BV34" s="31">
        <v>0.95790606707619497</v>
      </c>
      <c r="BW34" s="31">
        <v>0.98935569024820003</v>
      </c>
      <c r="BX34" s="31">
        <v>0.99937002026015809</v>
      </c>
      <c r="BY34" s="36"/>
      <c r="BZ34" s="36"/>
      <c r="CA34" s="83"/>
      <c r="CB34" s="83"/>
      <c r="CC34" s="83"/>
      <c r="CD34" s="83"/>
      <c r="CE34" s="83"/>
      <c r="CF34" s="83"/>
      <c r="CG34" s="83"/>
      <c r="CI34" s="31"/>
      <c r="CJ34" s="31"/>
    </row>
    <row r="35" spans="1:88" x14ac:dyDescent="0.2">
      <c r="B35" s="18"/>
      <c r="D35" s="54"/>
      <c r="E35" s="54"/>
      <c r="F35" s="31"/>
      <c r="G35" s="79"/>
      <c r="H35" s="36">
        <v>0.3</v>
      </c>
      <c r="I35" s="79">
        <f t="shared" si="25"/>
        <v>425.8358296707126</v>
      </c>
      <c r="J35" s="79">
        <f t="shared" si="26"/>
        <v>383786.37393252883</v>
      </c>
      <c r="K35" s="80">
        <f t="shared" si="27"/>
        <v>19.010528110299667</v>
      </c>
      <c r="L35" s="68">
        <f t="shared" si="0"/>
        <v>2.1187704516011485E-2</v>
      </c>
      <c r="M35" s="68">
        <f t="shared" si="1"/>
        <v>2.1187704516011485E-2</v>
      </c>
      <c r="N35" s="31">
        <f t="shared" si="2"/>
        <v>-1.0421074790903928</v>
      </c>
      <c r="O35" s="31">
        <f t="shared" si="3"/>
        <v>-1.0421074790903928</v>
      </c>
      <c r="P35" s="31">
        <f t="shared" si="28"/>
        <v>0.50717501900873385</v>
      </c>
      <c r="Q35" s="40"/>
      <c r="R35" s="81">
        <f t="shared" si="29"/>
        <v>0.18537867596896973</v>
      </c>
      <c r="S35" s="81">
        <f t="shared" si="4"/>
        <v>0.28402466003448024</v>
      </c>
      <c r="T35" s="31">
        <f t="shared" si="5"/>
        <v>0.99816720401500536</v>
      </c>
      <c r="U35" s="54">
        <f t="shared" si="30"/>
        <v>2509.100730208243</v>
      </c>
      <c r="V35" s="31">
        <f t="shared" si="31"/>
        <v>4.265471241354013</v>
      </c>
      <c r="W35" s="40"/>
      <c r="X35" s="17">
        <f t="shared" si="6"/>
        <v>12.549808349718438</v>
      </c>
      <c r="Y35" s="17">
        <f t="shared" si="32"/>
        <v>12.537264814181782</v>
      </c>
      <c r="Z35" s="31">
        <f t="shared" si="7"/>
        <v>30.966755929369594</v>
      </c>
      <c r="AA35" s="31">
        <f t="shared" si="33"/>
        <v>29.936304485033371</v>
      </c>
      <c r="AB35" s="31">
        <f t="shared" si="8"/>
        <v>0.99583276500409035</v>
      </c>
      <c r="AC35" s="40"/>
      <c r="AD35" s="79">
        <f t="shared" si="34"/>
        <v>888888.88888888888</v>
      </c>
      <c r="AE35" s="79">
        <f t="shared" si="9"/>
        <v>480000</v>
      </c>
      <c r="AF35" s="31">
        <f t="shared" si="10"/>
        <v>0.99816538825644052</v>
      </c>
      <c r="AG35" s="68">
        <f t="shared" si="11"/>
        <v>2.0062156690227647E-3</v>
      </c>
      <c r="AH35" s="68">
        <f t="shared" si="35"/>
        <v>2.0712170566991022E-3</v>
      </c>
      <c r="AI35" s="31">
        <f t="shared" si="36"/>
        <v>-29.500934102764774</v>
      </c>
      <c r="AJ35" s="31">
        <f t="shared" si="37"/>
        <v>1.9432356323056954</v>
      </c>
      <c r="AK35" s="31">
        <f t="shared" si="12"/>
        <v>0.99933224782278907</v>
      </c>
      <c r="AL35" s="40"/>
      <c r="AM35" s="79">
        <f t="shared" si="13"/>
        <v>35</v>
      </c>
      <c r="AN35" s="79">
        <f t="shared" si="14"/>
        <v>120000</v>
      </c>
      <c r="AO35" s="17"/>
      <c r="AP35" s="68">
        <f t="shared" si="15"/>
        <v>1.1275197272126242E-2</v>
      </c>
      <c r="AQ35" s="68">
        <f t="shared" si="38"/>
        <v>1.1286472469398368E-2</v>
      </c>
      <c r="AR35" s="31">
        <f t="shared" si="39"/>
        <v>3.3813825620476745</v>
      </c>
      <c r="AS35" s="31">
        <f t="shared" si="40"/>
        <v>4.3847639446097375</v>
      </c>
      <c r="AT35" s="31">
        <f t="shared" si="41"/>
        <v>0.24604524588836443</v>
      </c>
      <c r="AU35" s="40"/>
      <c r="AV35" s="82">
        <f t="shared" si="16"/>
        <v>17.643150282208211</v>
      </c>
      <c r="AW35" s="79">
        <f t="shared" si="17"/>
        <v>795.04825566126783</v>
      </c>
      <c r="AX35" s="18">
        <f t="shared" si="42"/>
        <v>18.914317541197914</v>
      </c>
      <c r="AY35" s="31">
        <f t="shared" si="43"/>
        <v>0.94571587705989757</v>
      </c>
      <c r="AZ35" s="31">
        <f t="shared" si="18"/>
        <v>0.94970234145830756</v>
      </c>
      <c r="BA35" s="40"/>
      <c r="BB35" s="82">
        <f t="shared" si="19"/>
        <v>1235.2303733899175</v>
      </c>
      <c r="BC35" s="79">
        <f t="shared" si="20"/>
        <v>13359.080273011921</v>
      </c>
      <c r="BD35" s="31">
        <f t="shared" si="44"/>
        <v>4.7748472168923399</v>
      </c>
      <c r="BE35" s="17">
        <f t="shared" si="45"/>
        <v>5.7298166602708082E-2</v>
      </c>
      <c r="BF35" s="31">
        <f t="shared" si="21"/>
        <v>0.98724046323587844</v>
      </c>
      <c r="BG35" s="40"/>
      <c r="BH35" s="80">
        <f t="shared" si="22"/>
        <v>4.8095519200565722</v>
      </c>
      <c r="BI35" s="80">
        <f t="shared" si="23"/>
        <v>3.0342405549722224</v>
      </c>
      <c r="BJ35" s="18">
        <f t="shared" si="46"/>
        <v>41070.474794994625</v>
      </c>
      <c r="BK35" s="18">
        <f t="shared" si="47"/>
        <v>28.749332356496222</v>
      </c>
      <c r="BL35" s="31">
        <f t="shared" si="24"/>
        <v>0.99924407194512943</v>
      </c>
      <c r="BN35" s="31"/>
      <c r="BO35" s="31"/>
      <c r="BP35" s="31"/>
      <c r="BQ35" s="31">
        <v>0.50717501900873385</v>
      </c>
      <c r="BR35" s="31">
        <v>0.99784495937791784</v>
      </c>
      <c r="BS35" s="31">
        <v>0.99649092133795791</v>
      </c>
      <c r="BT35" s="31">
        <v>0.99933224782289887</v>
      </c>
      <c r="BU35" s="31">
        <v>0.24604524588836443</v>
      </c>
      <c r="BV35" s="31">
        <v>0.94970234145830756</v>
      </c>
      <c r="BW35" s="31">
        <v>0.98724046323587844</v>
      </c>
      <c r="BX35" s="31">
        <v>0.99924407194512943</v>
      </c>
      <c r="BY35" s="36"/>
      <c r="BZ35" s="36"/>
      <c r="CA35" s="83"/>
      <c r="CB35" s="83"/>
      <c r="CC35" s="83"/>
      <c r="CD35" s="83"/>
      <c r="CE35" s="83"/>
      <c r="CF35" s="83"/>
      <c r="CG35" s="83"/>
      <c r="CI35" s="31"/>
      <c r="CJ35" s="31"/>
    </row>
    <row r="36" spans="1:88" x14ac:dyDescent="0.2">
      <c r="B36" s="60"/>
      <c r="C36" s="54"/>
      <c r="F36" s="31"/>
      <c r="G36" s="79"/>
      <c r="H36" s="36">
        <v>0.5</v>
      </c>
      <c r="I36" s="79">
        <f t="shared" si="25"/>
        <v>428.04831331749534</v>
      </c>
      <c r="J36" s="79">
        <f t="shared" si="26"/>
        <v>385780.38433987374</v>
      </c>
      <c r="K36" s="80">
        <f t="shared" si="27"/>
        <v>19.109299701673898</v>
      </c>
      <c r="L36" s="68">
        <f t="shared" si="0"/>
        <v>2.1183427350206615E-2</v>
      </c>
      <c r="M36" s="68">
        <f t="shared" si="1"/>
        <v>2.1183427350206615E-2</v>
      </c>
      <c r="N36" s="31">
        <f t="shared" si="2"/>
        <v>-1.2437672924584531</v>
      </c>
      <c r="O36" s="31">
        <f t="shared" si="3"/>
        <v>-1.2437672924584531</v>
      </c>
      <c r="P36" s="31">
        <f t="shared" si="28"/>
        <v>0.32384791594686091</v>
      </c>
      <c r="Q36" s="40"/>
      <c r="R36" s="81">
        <f t="shared" si="29"/>
        <v>0.18563074096093946</v>
      </c>
      <c r="S36" s="81">
        <f t="shared" si="4"/>
        <v>0.28441085695425311</v>
      </c>
      <c r="T36" s="31">
        <f t="shared" si="5"/>
        <v>0.9969472065947923</v>
      </c>
      <c r="U36" s="54">
        <f t="shared" si="30"/>
        <v>2499.5258293267448</v>
      </c>
      <c r="V36" s="31">
        <f t="shared" si="31"/>
        <v>4.2491939098554656</v>
      </c>
      <c r="W36" s="40"/>
      <c r="X36" s="17">
        <f t="shared" si="6"/>
        <v>12.54953993427697</v>
      </c>
      <c r="Y36" s="17">
        <f t="shared" si="32"/>
        <v>12.536996667021594</v>
      </c>
      <c r="Z36" s="31">
        <f t="shared" si="7"/>
        <v>30.944705600853162</v>
      </c>
      <c r="AA36" s="31">
        <f t="shared" si="33"/>
        <v>29.914276195823987</v>
      </c>
      <c r="AB36" s="31">
        <f t="shared" si="8"/>
        <v>0.99306869613637805</v>
      </c>
      <c r="AC36" s="40"/>
      <c r="AD36" s="79">
        <f t="shared" si="34"/>
        <v>888888.88888888888</v>
      </c>
      <c r="AE36" s="79">
        <f t="shared" si="9"/>
        <v>480000</v>
      </c>
      <c r="AF36" s="31">
        <f t="shared" si="10"/>
        <v>0.99694418403116403</v>
      </c>
      <c r="AG36" s="68">
        <f t="shared" si="11"/>
        <v>2.0062143824210025E-3</v>
      </c>
      <c r="AH36" s="68">
        <f t="shared" si="35"/>
        <v>2.0712157284114427E-3</v>
      </c>
      <c r="AI36" s="31">
        <f t="shared" si="36"/>
        <v>-29.501556491388079</v>
      </c>
      <c r="AJ36" s="31">
        <f t="shared" si="37"/>
        <v>1.9425930782908107</v>
      </c>
      <c r="AK36" s="31">
        <f t="shared" si="12"/>
        <v>0.99888732744134279</v>
      </c>
      <c r="AL36" s="40"/>
      <c r="AM36" s="79">
        <f t="shared" si="13"/>
        <v>35</v>
      </c>
      <c r="AN36" s="79">
        <f t="shared" si="14"/>
        <v>120000</v>
      </c>
      <c r="AO36" s="17"/>
      <c r="AP36" s="68">
        <f t="shared" si="15"/>
        <v>1.127939053603857E-2</v>
      </c>
      <c r="AQ36" s="68">
        <f t="shared" si="38"/>
        <v>1.1290669926574608E-2</v>
      </c>
      <c r="AR36" s="31">
        <f t="shared" si="39"/>
        <v>3.7545417042119666</v>
      </c>
      <c r="AS36" s="31">
        <f t="shared" si="40"/>
        <v>4.7582962459160605</v>
      </c>
      <c r="AT36" s="31">
        <f t="shared" si="41"/>
        <v>9.6662182075788847E-2</v>
      </c>
      <c r="AU36" s="40"/>
      <c r="AV36" s="82">
        <f t="shared" si="16"/>
        <v>23.800925434406082</v>
      </c>
      <c r="AW36" s="79">
        <f t="shared" si="17"/>
        <v>1072.5343233532803</v>
      </c>
      <c r="AX36" s="18">
        <f t="shared" si="42"/>
        <v>25.383867733341859</v>
      </c>
      <c r="AY36" s="31">
        <f t="shared" si="43"/>
        <v>1.2691933866670932</v>
      </c>
      <c r="AZ36" s="31">
        <f t="shared" si="18"/>
        <v>0.91758403334138383</v>
      </c>
      <c r="BA36" s="40"/>
      <c r="BB36" s="82">
        <f t="shared" si="19"/>
        <v>1225.4888011568078</v>
      </c>
      <c r="BC36" s="79">
        <f t="shared" si="20"/>
        <v>13253.724666275737</v>
      </c>
      <c r="BD36" s="31">
        <f t="shared" si="44"/>
        <v>4.7127052100103493</v>
      </c>
      <c r="BE36" s="17">
        <f t="shared" si="45"/>
        <v>5.6552462520124185E-2</v>
      </c>
      <c r="BF36" s="31">
        <f t="shared" si="21"/>
        <v>0.97882468182649207</v>
      </c>
      <c r="BG36" s="40"/>
      <c r="BH36" s="80">
        <f t="shared" si="22"/>
        <v>4.815915854999302</v>
      </c>
      <c r="BI36" s="80">
        <f t="shared" si="23"/>
        <v>3.0382554215987607</v>
      </c>
      <c r="BJ36" s="18">
        <f t="shared" si="46"/>
        <v>40912.253935029767</v>
      </c>
      <c r="BK36" s="18">
        <f t="shared" si="47"/>
        <v>28.638577754520828</v>
      </c>
      <c r="BL36" s="31">
        <f t="shared" si="24"/>
        <v>0.99874043739478879</v>
      </c>
      <c r="BN36" s="31"/>
      <c r="BO36" s="31"/>
      <c r="BP36" s="31"/>
      <c r="BQ36" s="31">
        <v>0.32384791594686091</v>
      </c>
      <c r="BR36" s="31">
        <v>0.9964108463592698</v>
      </c>
      <c r="BS36" s="31">
        <v>0.99416109439488021</v>
      </c>
      <c r="BT36" s="31">
        <v>0.9988873274413308</v>
      </c>
      <c r="BU36" s="31">
        <v>9.6662182075788847E-2</v>
      </c>
      <c r="BV36" s="31">
        <v>0.91758403334138383</v>
      </c>
      <c r="BW36" s="31">
        <v>0.97882468182649207</v>
      </c>
      <c r="BX36" s="31">
        <v>0.99874043739478879</v>
      </c>
      <c r="BY36" s="36"/>
      <c r="BZ36" s="36"/>
      <c r="CA36" s="83"/>
      <c r="CB36" s="83"/>
      <c r="CC36" s="83"/>
      <c r="CD36" s="83"/>
      <c r="CE36" s="83"/>
      <c r="CF36" s="83"/>
      <c r="CG36" s="83"/>
      <c r="CI36" s="31"/>
      <c r="CJ36" s="31"/>
    </row>
    <row r="37" spans="1:88" x14ac:dyDescent="0.2">
      <c r="B37" s="18"/>
      <c r="C37" s="54"/>
      <c r="D37" s="84"/>
      <c r="E37" s="84"/>
      <c r="F37" s="31"/>
      <c r="G37" s="79"/>
      <c r="H37" s="36">
        <v>0.7</v>
      </c>
      <c r="I37" s="79">
        <f t="shared" si="25"/>
        <v>429.46839691725211</v>
      </c>
      <c r="J37" s="79">
        <f t="shared" si="26"/>
        <v>387060.24079500843</v>
      </c>
      <c r="K37" s="80">
        <f t="shared" si="27"/>
        <v>19.172696290948753</v>
      </c>
      <c r="L37" s="68">
        <f t="shared" si="0"/>
        <v>2.1180705270000967E-2</v>
      </c>
      <c r="M37" s="68">
        <f t="shared" si="1"/>
        <v>2.1180705270000967E-2</v>
      </c>
      <c r="N37" s="31">
        <f t="shared" si="2"/>
        <v>-1.3721079299943151</v>
      </c>
      <c r="O37" s="31">
        <f t="shared" si="3"/>
        <v>-1.3721079299943151</v>
      </c>
      <c r="P37" s="31">
        <f t="shared" si="28"/>
        <v>0.20717460909607727</v>
      </c>
      <c r="Q37" s="40"/>
      <c r="R37" s="81">
        <f t="shared" si="29"/>
        <v>0.18588249786961544</v>
      </c>
      <c r="S37" s="81">
        <f t="shared" si="4"/>
        <v>0.28479658184965584</v>
      </c>
      <c r="T37" s="31">
        <f t="shared" si="5"/>
        <v>0.99572870030121519</v>
      </c>
      <c r="U37" s="54">
        <f t="shared" si="30"/>
        <v>2494.6395858045971</v>
      </c>
      <c r="V37" s="31">
        <f t="shared" si="31"/>
        <v>4.2408872958678137</v>
      </c>
      <c r="W37" s="40"/>
      <c r="X37" s="17">
        <f t="shared" si="6"/>
        <v>12.549272605885498</v>
      </c>
      <c r="Y37" s="17">
        <f t="shared" si="32"/>
        <v>12.536729605824894</v>
      </c>
      <c r="Z37" s="31">
        <f t="shared" si="7"/>
        <v>30.922744573493645</v>
      </c>
      <c r="AA37" s="31">
        <f t="shared" si="33"/>
        <v>29.892337118514909</v>
      </c>
      <c r="AB37" s="31">
        <f t="shared" si="8"/>
        <v>0.99031582141245833</v>
      </c>
      <c r="AC37" s="40"/>
      <c r="AD37" s="79">
        <f t="shared" si="34"/>
        <v>888888.88888888888</v>
      </c>
      <c r="AE37" s="79">
        <f t="shared" si="9"/>
        <v>480000</v>
      </c>
      <c r="AF37" s="31">
        <f t="shared" si="10"/>
        <v>0.99572447388670549</v>
      </c>
      <c r="AG37" s="68">
        <f t="shared" si="11"/>
        <v>2.0062130963920577E-3</v>
      </c>
      <c r="AH37" s="68">
        <f t="shared" si="35"/>
        <v>2.0712144007151603E-3</v>
      </c>
      <c r="AI37" s="31">
        <f t="shared" si="36"/>
        <v>-29.502178602913265</v>
      </c>
      <c r="AJ37" s="31">
        <f t="shared" si="37"/>
        <v>1.9419508103524219</v>
      </c>
      <c r="AK37" s="31">
        <f t="shared" si="12"/>
        <v>0.9984426051463775</v>
      </c>
      <c r="AL37" s="40"/>
      <c r="AM37" s="79">
        <f t="shared" si="13"/>
        <v>35</v>
      </c>
      <c r="AN37" s="79">
        <f t="shared" si="14"/>
        <v>120000</v>
      </c>
      <c r="AO37" s="17"/>
      <c r="AP37" s="68">
        <f t="shared" si="15"/>
        <v>1.1281037916130478E-2</v>
      </c>
      <c r="AQ37" s="68">
        <f t="shared" si="38"/>
        <v>1.1292318954046608E-2</v>
      </c>
      <c r="AR37" s="31">
        <f t="shared" si="39"/>
        <v>3.9011422890469216</v>
      </c>
      <c r="AS37" s="31">
        <f t="shared" si="40"/>
        <v>4.9050434313360203</v>
      </c>
      <c r="AT37" s="31">
        <f t="shared" si="41"/>
        <v>3.797503751763056E-2</v>
      </c>
      <c r="AU37" s="40"/>
      <c r="AV37" s="82">
        <f t="shared" si="16"/>
        <v>29.750448683855808</v>
      </c>
      <c r="AW37" s="79">
        <f t="shared" si="17"/>
        <v>1340.6359948705931</v>
      </c>
      <c r="AX37" s="18">
        <f t="shared" si="42"/>
        <v>31.624163837655601</v>
      </c>
      <c r="AY37" s="31">
        <f t="shared" si="43"/>
        <v>1.5812081918827816</v>
      </c>
      <c r="AZ37" s="31">
        <f t="shared" si="18"/>
        <v>0.88655194526547787</v>
      </c>
      <c r="BA37" s="40"/>
      <c r="BB37" s="82">
        <f t="shared" si="19"/>
        <v>1215.8302714503675</v>
      </c>
      <c r="BC37" s="79">
        <f t="shared" si="20"/>
        <v>13149.267168753637</v>
      </c>
      <c r="BD37" s="31">
        <f t="shared" si="44"/>
        <v>4.6601023878400234</v>
      </c>
      <c r="BE37" s="17">
        <f t="shared" si="45"/>
        <v>5.5921228654080307E-2</v>
      </c>
      <c r="BF37" s="31">
        <f t="shared" si="21"/>
        <v>0.97048064117264443</v>
      </c>
      <c r="BG37" s="40"/>
      <c r="BH37" s="80">
        <f t="shared" si="22"/>
        <v>4.8222765824198621</v>
      </c>
      <c r="BI37" s="80">
        <f t="shared" si="23"/>
        <v>3.0422682646700885</v>
      </c>
      <c r="BJ37" s="18">
        <f t="shared" si="46"/>
        <v>40830.830241923861</v>
      </c>
      <c r="BK37" s="18">
        <f t="shared" si="47"/>
        <v>28.581581169346698</v>
      </c>
      <c r="BL37" s="31">
        <f t="shared" si="24"/>
        <v>0.9982370566840929</v>
      </c>
      <c r="BN37" s="31"/>
      <c r="BO37" s="31"/>
      <c r="BP37" s="31"/>
      <c r="BQ37" s="31">
        <v>0.20717460909607727</v>
      </c>
      <c r="BR37" s="31">
        <v>0.9949787944625732</v>
      </c>
      <c r="BS37" s="31">
        <v>0.99183887363161261</v>
      </c>
      <c r="BT37" s="31">
        <v>0.99844260514633909</v>
      </c>
      <c r="BU37" s="31">
        <v>3.797503751763056E-2</v>
      </c>
      <c r="BV37" s="31">
        <v>0.88655194526547787</v>
      </c>
      <c r="BW37" s="31">
        <v>0.97048064117264443</v>
      </c>
      <c r="BX37" s="31">
        <v>0.9982370566840929</v>
      </c>
      <c r="BY37" s="36"/>
      <c r="BZ37" s="36"/>
      <c r="CA37" s="83"/>
      <c r="CB37" s="83"/>
      <c r="CC37" s="83"/>
      <c r="CD37" s="83"/>
      <c r="CE37" s="83"/>
      <c r="CF37" s="83"/>
      <c r="CG37" s="83"/>
      <c r="CI37" s="31"/>
      <c r="CJ37" s="31"/>
    </row>
    <row r="38" spans="1:88" x14ac:dyDescent="0.2">
      <c r="A38" s="55"/>
      <c r="B38" s="18"/>
      <c r="C38" s="54"/>
      <c r="F38" s="31"/>
      <c r="G38" s="79"/>
      <c r="H38" s="36">
        <v>0.8</v>
      </c>
      <c r="I38" s="79">
        <f t="shared" si="25"/>
        <v>429.97445049555819</v>
      </c>
      <c r="J38" s="79">
        <f t="shared" si="26"/>
        <v>387516.32376008877</v>
      </c>
      <c r="K38" s="80">
        <f t="shared" si="27"/>
        <v>19.195287968551707</v>
      </c>
      <c r="L38" s="68">
        <f t="shared" si="0"/>
        <v>2.1179739589092122E-2</v>
      </c>
      <c r="M38" s="68">
        <f t="shared" si="1"/>
        <v>2.1179739589092122E-2</v>
      </c>
      <c r="N38" s="31">
        <f t="shared" si="2"/>
        <v>-1.4176378534844769</v>
      </c>
      <c r="O38" s="31">
        <f t="shared" si="3"/>
        <v>-1.4176378534844769</v>
      </c>
      <c r="P38" s="31">
        <f t="shared" si="28"/>
        <v>0.16578376955956653</v>
      </c>
      <c r="Q38" s="40"/>
      <c r="R38" s="81">
        <f t="shared" si="29"/>
        <v>0.1860082609104084</v>
      </c>
      <c r="S38" s="81">
        <f t="shared" si="4"/>
        <v>0.28498926746853526</v>
      </c>
      <c r="T38" s="31">
        <f t="shared" si="5"/>
        <v>0.99512000575729365</v>
      </c>
      <c r="U38" s="54">
        <f t="shared" si="30"/>
        <v>2493.3893667192128</v>
      </c>
      <c r="V38" s="31">
        <f t="shared" si="31"/>
        <v>4.2387619234226621</v>
      </c>
      <c r="W38" s="40"/>
      <c r="X38" s="17">
        <f t="shared" si="6"/>
        <v>12.549139347369435</v>
      </c>
      <c r="Y38" s="17">
        <f t="shared" si="32"/>
        <v>12.536596480500739</v>
      </c>
      <c r="Z38" s="31">
        <f t="shared" si="7"/>
        <v>30.911797386399044</v>
      </c>
      <c r="AA38" s="31">
        <f t="shared" si="33"/>
        <v>29.881400873135622</v>
      </c>
      <c r="AB38" s="31">
        <f t="shared" si="8"/>
        <v>0.98894356162890718</v>
      </c>
      <c r="AC38" s="40"/>
      <c r="AD38" s="79">
        <f t="shared" si="34"/>
        <v>888888.88888888888</v>
      </c>
      <c r="AE38" s="79">
        <f t="shared" si="9"/>
        <v>480000</v>
      </c>
      <c r="AF38" s="31">
        <f t="shared" si="10"/>
        <v>0.99511517852346709</v>
      </c>
      <c r="AG38" s="68">
        <f t="shared" si="11"/>
        <v>2.0062124535923124E-3</v>
      </c>
      <c r="AH38" s="68">
        <f t="shared" si="35"/>
        <v>2.0712137370887036E-3</v>
      </c>
      <c r="AI38" s="31">
        <f t="shared" si="36"/>
        <v>-29.502489554802391</v>
      </c>
      <c r="AJ38" s="31">
        <f t="shared" si="37"/>
        <v>1.9416297836221119</v>
      </c>
      <c r="AK38" s="31">
        <f t="shared" si="12"/>
        <v>0.99822031825376578</v>
      </c>
      <c r="AL38" s="40"/>
      <c r="AM38" s="79">
        <f t="shared" si="13"/>
        <v>35</v>
      </c>
      <c r="AN38" s="79">
        <f t="shared" si="14"/>
        <v>120000</v>
      </c>
      <c r="AO38" s="17"/>
      <c r="AP38" s="68">
        <f t="shared" si="15"/>
        <v>1.1281435752440318E-2</v>
      </c>
      <c r="AQ38" s="68">
        <f t="shared" si="38"/>
        <v>1.1292717188192759E-2</v>
      </c>
      <c r="AR38" s="31">
        <f t="shared" si="39"/>
        <v>3.9365457979139151</v>
      </c>
      <c r="AS38" s="31">
        <f t="shared" si="40"/>
        <v>4.9404823437120271</v>
      </c>
      <c r="AT38" s="31">
        <f t="shared" si="41"/>
        <v>2.3802305225405402E-2</v>
      </c>
      <c r="AU38" s="40"/>
      <c r="AV38" s="82">
        <f t="shared" si="16"/>
        <v>32.649326164471802</v>
      </c>
      <c r="AW38" s="79">
        <f t="shared" si="17"/>
        <v>1471.267285058243</v>
      </c>
      <c r="AX38" s="18">
        <f t="shared" si="42"/>
        <v>34.664769347044427</v>
      </c>
      <c r="AY38" s="31">
        <f t="shared" si="43"/>
        <v>1.7332384673522221</v>
      </c>
      <c r="AZ38" s="31">
        <f t="shared" si="18"/>
        <v>0.87143170494907007</v>
      </c>
      <c r="BA38" s="40"/>
      <c r="BB38" s="82">
        <f t="shared" si="19"/>
        <v>1211.0319260894976</v>
      </c>
      <c r="BC38" s="79">
        <f t="shared" si="20"/>
        <v>13097.372815898971</v>
      </c>
      <c r="BD38" s="31">
        <f t="shared" si="44"/>
        <v>4.6362480114720599</v>
      </c>
      <c r="BE38" s="17">
        <f t="shared" si="45"/>
        <v>5.5634976137664729E-2</v>
      </c>
      <c r="BF38" s="31">
        <f t="shared" si="21"/>
        <v>0.96633533231309754</v>
      </c>
      <c r="BG38" s="40"/>
      <c r="BH38" s="80">
        <f t="shared" si="22"/>
        <v>4.8254557438145618</v>
      </c>
      <c r="BI38" s="80">
        <f t="shared" si="23"/>
        <v>3.0442739276912878</v>
      </c>
      <c r="BJ38" s="18">
        <f t="shared" si="46"/>
        <v>40809.661540274668</v>
      </c>
      <c r="BK38" s="18">
        <f t="shared" si="47"/>
        <v>28.566763078192256</v>
      </c>
      <c r="BL38" s="31">
        <f t="shared" si="24"/>
        <v>0.99798546147862832</v>
      </c>
      <c r="BN38" s="31"/>
      <c r="BO38" s="31"/>
      <c r="BP38" s="31"/>
      <c r="BQ38" s="31">
        <v>0.16578376955956653</v>
      </c>
      <c r="BR38" s="31">
        <v>0.99426354050908261</v>
      </c>
      <c r="BS38" s="31">
        <v>0.99068060468238062</v>
      </c>
      <c r="BT38" s="31">
        <v>0.99822031825364443</v>
      </c>
      <c r="BU38" s="31">
        <v>2.3802305225405402E-2</v>
      </c>
      <c r="BV38" s="31">
        <v>0.87143170494907007</v>
      </c>
      <c r="BW38" s="31">
        <v>0.96633533231309754</v>
      </c>
      <c r="BX38" s="31">
        <v>0.99798546147862832</v>
      </c>
      <c r="BY38" s="36"/>
      <c r="BZ38" s="36"/>
      <c r="CA38" s="83"/>
      <c r="CB38" s="83"/>
      <c r="CC38" s="83"/>
      <c r="CD38" s="83"/>
      <c r="CE38" s="83"/>
      <c r="CF38" s="83"/>
      <c r="CG38" s="83"/>
      <c r="CI38" s="31"/>
      <c r="CJ38" s="31"/>
    </row>
    <row r="39" spans="1:88" x14ac:dyDescent="0.2">
      <c r="C39" s="18"/>
      <c r="F39" s="31"/>
      <c r="G39" s="79"/>
      <c r="H39" s="36">
        <v>1</v>
      </c>
      <c r="I39" s="79">
        <f t="shared" si="25"/>
        <v>430.70468891038223</v>
      </c>
      <c r="J39" s="79">
        <f t="shared" si="26"/>
        <v>388174.45427378529</v>
      </c>
      <c r="K39" s="80">
        <f t="shared" si="27"/>
        <v>19.227887897784921</v>
      </c>
      <c r="L39" s="68">
        <f t="shared" si="0"/>
        <v>2.1178350105468591E-2</v>
      </c>
      <c r="M39" s="68">
        <f t="shared" si="1"/>
        <v>2.1178350105468591E-2</v>
      </c>
      <c r="N39" s="31">
        <f t="shared" si="2"/>
        <v>-1.483149227366809</v>
      </c>
      <c r="O39" s="31">
        <f t="shared" si="3"/>
        <v>-1.483149227366809</v>
      </c>
      <c r="P39" s="31">
        <f t="shared" si="28"/>
        <v>0.10622797512108281</v>
      </c>
      <c r="Q39" s="40"/>
      <c r="R39" s="81">
        <f t="shared" si="29"/>
        <v>0.18625955640003297</v>
      </c>
      <c r="S39" s="81">
        <f t="shared" si="4"/>
        <v>0.28537428540889842</v>
      </c>
      <c r="T39" s="31">
        <f t="shared" si="5"/>
        <v>0.99390373273715915</v>
      </c>
      <c r="U39" s="54">
        <f t="shared" si="30"/>
        <v>2492.524784282361</v>
      </c>
      <c r="V39" s="31">
        <f t="shared" si="31"/>
        <v>4.2372921332800138</v>
      </c>
      <c r="W39" s="40"/>
      <c r="X39" s="17">
        <f t="shared" si="6"/>
        <v>12.54887363779485</v>
      </c>
      <c r="Y39" s="17">
        <f t="shared" si="32"/>
        <v>12.536331036502919</v>
      </c>
      <c r="Z39" s="31">
        <f t="shared" si="7"/>
        <v>30.889969344847003</v>
      </c>
      <c r="AA39" s="31">
        <f t="shared" si="33"/>
        <v>29.859594648714793</v>
      </c>
      <c r="AB39" s="31">
        <f t="shared" si="8"/>
        <v>0.98620735703892859</v>
      </c>
      <c r="AC39" s="40"/>
      <c r="AD39" s="79">
        <f t="shared" si="34"/>
        <v>888888.88888888888</v>
      </c>
      <c r="AE39" s="79">
        <f t="shared" si="9"/>
        <v>480000</v>
      </c>
      <c r="AF39" s="31">
        <f t="shared" si="10"/>
        <v>0.99389770607356343</v>
      </c>
      <c r="AG39" s="68">
        <f t="shared" si="11"/>
        <v>2.0062111684221165E-3</v>
      </c>
      <c r="AH39" s="68">
        <f t="shared" si="35"/>
        <v>2.0712124102789933E-3</v>
      </c>
      <c r="AI39" s="31">
        <f t="shared" si="36"/>
        <v>-29.503111250911097</v>
      </c>
      <c r="AJ39" s="31">
        <f t="shared" si="37"/>
        <v>1.9409879445595468</v>
      </c>
      <c r="AK39" s="31">
        <f t="shared" si="12"/>
        <v>0.99777589292308777</v>
      </c>
      <c r="AL39" s="40"/>
      <c r="AM39" s="79">
        <f t="shared" si="13"/>
        <v>35</v>
      </c>
      <c r="AN39" s="79">
        <f t="shared" si="14"/>
        <v>120000</v>
      </c>
      <c r="AO39" s="17"/>
      <c r="AP39" s="68">
        <f t="shared" si="15"/>
        <v>1.1281841406884775E-2</v>
      </c>
      <c r="AQ39" s="68">
        <f t="shared" si="38"/>
        <v>1.129312324829166E-2</v>
      </c>
      <c r="AR39" s="31">
        <f t="shared" si="39"/>
        <v>3.9726450436741167</v>
      </c>
      <c r="AS39" s="31">
        <f t="shared" si="40"/>
        <v>4.9766176887178215</v>
      </c>
      <c r="AT39" s="31">
        <f t="shared" si="41"/>
        <v>9.3510555476345077E-3</v>
      </c>
      <c r="AU39" s="40"/>
      <c r="AV39" s="82">
        <f t="shared" si="16"/>
        <v>38.29960232503484</v>
      </c>
      <c r="AW39" s="79">
        <f t="shared" si="17"/>
        <v>1725.8840702471207</v>
      </c>
      <c r="AX39" s="18">
        <f t="shared" si="42"/>
        <v>40.594893586406187</v>
      </c>
      <c r="AY39" s="31">
        <f t="shared" si="43"/>
        <v>2.0297446793203111</v>
      </c>
      <c r="AZ39" s="31">
        <f t="shared" si="18"/>
        <v>0.84196045824304178</v>
      </c>
      <c r="BA39" s="40"/>
      <c r="BB39" s="82">
        <f t="shared" si="19"/>
        <v>1201.4966347479344</v>
      </c>
      <c r="BC39" s="79">
        <f t="shared" si="20"/>
        <v>12994.24814765679</v>
      </c>
      <c r="BD39" s="31">
        <f t="shared" si="44"/>
        <v>4.591944989667212</v>
      </c>
      <c r="BE39" s="17">
        <f t="shared" si="45"/>
        <v>5.5103339876006546E-2</v>
      </c>
      <c r="BF39" s="31">
        <f t="shared" si="21"/>
        <v>0.95809775775273376</v>
      </c>
      <c r="BG39" s="40"/>
      <c r="BH39" s="80">
        <f t="shared" si="22"/>
        <v>4.8318116629828154</v>
      </c>
      <c r="BI39" s="80">
        <f t="shared" si="23"/>
        <v>3.0482837373419578</v>
      </c>
      <c r="BJ39" s="18">
        <f t="shared" si="46"/>
        <v>40794.132688637379</v>
      </c>
      <c r="BK39" s="18">
        <f t="shared" si="47"/>
        <v>28.555892882046162</v>
      </c>
      <c r="BL39" s="31">
        <f t="shared" si="24"/>
        <v>0.99748246128753404</v>
      </c>
      <c r="BN39" s="31"/>
      <c r="BO39" s="31"/>
      <c r="BP39" s="31"/>
      <c r="BQ39" s="31">
        <v>0.10622797512108281</v>
      </c>
      <c r="BR39" s="31">
        <v>0.99283457474239634</v>
      </c>
      <c r="BS39" s="31">
        <v>0.98836972799418377</v>
      </c>
      <c r="BT39" s="31">
        <v>0.99777589292292423</v>
      </c>
      <c r="BU39" s="31">
        <v>9.3510555476345077E-3</v>
      </c>
      <c r="BV39" s="31">
        <v>0.84196045824304178</v>
      </c>
      <c r="BW39" s="31">
        <v>0.95809775775273376</v>
      </c>
      <c r="BX39" s="31">
        <v>0.99748246128753404</v>
      </c>
      <c r="BY39" s="36"/>
      <c r="BZ39" s="36"/>
      <c r="CA39" s="83"/>
      <c r="CB39" s="83"/>
      <c r="CC39" s="83"/>
      <c r="CD39" s="83"/>
      <c r="CE39" s="83"/>
      <c r="CF39" s="83"/>
      <c r="CG39" s="83"/>
      <c r="CI39" s="31"/>
      <c r="CJ39" s="31"/>
    </row>
    <row r="40" spans="1:88" x14ac:dyDescent="0.2">
      <c r="C40" s="18"/>
      <c r="F40" s="31"/>
      <c r="G40" s="79"/>
      <c r="H40" s="36">
        <v>2</v>
      </c>
      <c r="I40" s="79">
        <f t="shared" si="25"/>
        <v>431.87080896241446</v>
      </c>
      <c r="J40" s="79">
        <f t="shared" si="26"/>
        <v>389225.42498868617</v>
      </c>
      <c r="K40" s="80">
        <f t="shared" si="27"/>
        <v>19.279946828679218</v>
      </c>
      <c r="L40" s="68">
        <f t="shared" si="0"/>
        <v>2.1176140977774063E-2</v>
      </c>
      <c r="M40" s="68">
        <f t="shared" si="1"/>
        <v>2.1176140977774063E-2</v>
      </c>
      <c r="N40" s="31">
        <f t="shared" si="2"/>
        <v>-1.5873051799083493</v>
      </c>
      <c r="O40" s="31">
        <f t="shared" si="3"/>
        <v>-1.5873051799083493</v>
      </c>
      <c r="P40" s="31">
        <f t="shared" si="28"/>
        <v>1.1540745537864357E-2</v>
      </c>
      <c r="Q40" s="40"/>
      <c r="R40" s="81">
        <f t="shared" si="29"/>
        <v>0.18751143420761873</v>
      </c>
      <c r="S40" s="81">
        <f t="shared" si="4"/>
        <v>0.287292327852808</v>
      </c>
      <c r="T40" s="31">
        <f t="shared" si="5"/>
        <v>0.98784462994885847</v>
      </c>
      <c r="U40" s="54">
        <f t="shared" si="30"/>
        <v>2502.5019599305574</v>
      </c>
      <c r="V40" s="31">
        <f t="shared" si="31"/>
        <v>4.254253331881948</v>
      </c>
      <c r="W40" s="40"/>
      <c r="X40" s="17">
        <f t="shared" si="6"/>
        <v>12.547561039067821</v>
      </c>
      <c r="Y40" s="17">
        <f t="shared" si="32"/>
        <v>12.535019749718536</v>
      </c>
      <c r="Z40" s="31">
        <f t="shared" si="7"/>
        <v>30.782139359421421</v>
      </c>
      <c r="AA40" s="31">
        <f t="shared" si="33"/>
        <v>29.751872439377713</v>
      </c>
      <c r="AB40" s="31">
        <f t="shared" si="8"/>
        <v>0.97269057403511094</v>
      </c>
      <c r="AC40" s="40"/>
      <c r="AD40" s="79">
        <f t="shared" si="34"/>
        <v>888888.88888888888</v>
      </c>
      <c r="AE40" s="79">
        <f t="shared" si="9"/>
        <v>480000</v>
      </c>
      <c r="AF40" s="31">
        <f t="shared" si="10"/>
        <v>0.98783265013829147</v>
      </c>
      <c r="AG40" s="68">
        <f t="shared" si="11"/>
        <v>2.0062047511487506E-3</v>
      </c>
      <c r="AH40" s="68">
        <f t="shared" si="35"/>
        <v>2.0712057850859702E-3</v>
      </c>
      <c r="AI40" s="31">
        <f t="shared" si="36"/>
        <v>-29.506215582067231</v>
      </c>
      <c r="AJ40" s="31">
        <f t="shared" si="37"/>
        <v>1.9377830330737922</v>
      </c>
      <c r="AK40" s="31">
        <f t="shared" si="12"/>
        <v>0.99555673249810883</v>
      </c>
      <c r="AL40" s="40"/>
      <c r="AM40" s="79">
        <f t="shared" si="13"/>
        <v>35</v>
      </c>
      <c r="AN40" s="79">
        <f t="shared" si="14"/>
        <v>120000</v>
      </c>
      <c r="AO40" s="17"/>
      <c r="AP40" s="68">
        <f t="shared" si="15"/>
        <v>1.1282101439588132E-2</v>
      </c>
      <c r="AQ40" s="68">
        <f t="shared" si="38"/>
        <v>1.1293383541027721E-2</v>
      </c>
      <c r="AR40" s="31">
        <f t="shared" si="39"/>
        <v>3.995785390322526</v>
      </c>
      <c r="AS40" s="31">
        <f t="shared" si="40"/>
        <v>4.9997811757129806</v>
      </c>
      <c r="AT40" s="31">
        <f t="shared" si="41"/>
        <v>8.7512224022487598E-5</v>
      </c>
      <c r="AU40" s="40"/>
      <c r="AV40" s="82">
        <f t="shared" si="16"/>
        <v>63.810669383203134</v>
      </c>
      <c r="AW40" s="79">
        <f t="shared" si="17"/>
        <v>2875.4820184722557</v>
      </c>
      <c r="AX40" s="18">
        <f t="shared" si="42"/>
        <v>67.452211448328725</v>
      </c>
      <c r="AY40" s="31">
        <f t="shared" si="43"/>
        <v>3.3726105724164364</v>
      </c>
      <c r="AZ40" s="31">
        <f t="shared" si="18"/>
        <v>0.70889741324483291</v>
      </c>
      <c r="BA40" s="40"/>
      <c r="BB40" s="82">
        <f t="shared" si="19"/>
        <v>1155.0256692564685</v>
      </c>
      <c r="BC40" s="79">
        <f t="shared" si="20"/>
        <v>12491.66225619985</v>
      </c>
      <c r="BD40" s="31">
        <f t="shared" si="44"/>
        <v>4.4024203126607118</v>
      </c>
      <c r="BE40" s="17">
        <f t="shared" si="45"/>
        <v>5.282904375192856E-2</v>
      </c>
      <c r="BF40" s="31">
        <f t="shared" si="21"/>
        <v>0.91795131341081604</v>
      </c>
      <c r="BG40" s="40"/>
      <c r="BH40" s="80">
        <f t="shared" si="22"/>
        <v>4.8635432388725626</v>
      </c>
      <c r="BI40" s="80">
        <f t="shared" si="23"/>
        <v>3.0683024908637453</v>
      </c>
      <c r="BJ40" s="18">
        <f t="shared" si="46"/>
        <v>40951.162733616438</v>
      </c>
      <c r="BK40" s="18">
        <f t="shared" si="47"/>
        <v>28.665813913531505</v>
      </c>
      <c r="BL40" s="31">
        <f t="shared" si="24"/>
        <v>0.99497126057623675</v>
      </c>
      <c r="BN40" s="31"/>
      <c r="BO40" s="31"/>
      <c r="BP40" s="31"/>
      <c r="BQ40" s="31">
        <v>1.1540745537864357E-2</v>
      </c>
      <c r="BR40" s="31">
        <v>0.98572049280391505</v>
      </c>
      <c r="BS40" s="31">
        <v>0.97692745541610759</v>
      </c>
      <c r="BT40" s="31">
        <v>0.99555673249823129</v>
      </c>
      <c r="BU40" s="31">
        <v>8.7512224022487598E-5</v>
      </c>
      <c r="BV40" s="31">
        <v>0.70889741324483291</v>
      </c>
      <c r="BW40" s="31">
        <v>0.91795131341081604</v>
      </c>
      <c r="BX40" s="31">
        <v>0.99497126057623675</v>
      </c>
      <c r="BY40" s="36"/>
      <c r="BZ40" s="36"/>
      <c r="CA40" s="83"/>
      <c r="CB40" s="83"/>
      <c r="CC40" s="83"/>
      <c r="CD40" s="83"/>
      <c r="CE40" s="83"/>
      <c r="CF40" s="83"/>
      <c r="CG40" s="83"/>
      <c r="CI40" s="31"/>
      <c r="CJ40" s="31"/>
    </row>
    <row r="41" spans="1:88" x14ac:dyDescent="0.2">
      <c r="D41" s="18"/>
      <c r="E41" s="18"/>
      <c r="F41" s="31"/>
      <c r="G41" s="79"/>
      <c r="H41" s="36">
        <v>3</v>
      </c>
      <c r="I41" s="79">
        <f t="shared" si="25"/>
        <v>431.99784076942314</v>
      </c>
      <c r="J41" s="79">
        <f t="shared" si="26"/>
        <v>389339.9129513916</v>
      </c>
      <c r="K41" s="80">
        <f t="shared" si="27"/>
        <v>19.285617891492105</v>
      </c>
      <c r="L41" s="68">
        <f t="shared" si="0"/>
        <v>2.1175901045839111E-2</v>
      </c>
      <c r="M41" s="68">
        <f t="shared" si="1"/>
        <v>2.1175901045839111E-2</v>
      </c>
      <c r="N41" s="31">
        <f t="shared" si="2"/>
        <v>-1.5986174907774986</v>
      </c>
      <c r="O41" s="31">
        <f t="shared" si="3"/>
        <v>-1.5986174907774986</v>
      </c>
      <c r="P41" s="31">
        <f t="shared" si="28"/>
        <v>1.2568265659104484E-3</v>
      </c>
      <c r="Q41" s="40"/>
      <c r="R41" s="81">
        <f t="shared" si="29"/>
        <v>0.18875568023350903</v>
      </c>
      <c r="S41" s="81">
        <f t="shared" si="4"/>
        <v>0.28919867739735811</v>
      </c>
      <c r="T41" s="31">
        <f t="shared" si="5"/>
        <v>0.98182246507052806</v>
      </c>
      <c r="U41" s="54">
        <f t="shared" si="30"/>
        <v>2518.3667371175989</v>
      </c>
      <c r="V41" s="31">
        <f t="shared" si="31"/>
        <v>4.2812234530999165</v>
      </c>
      <c r="W41" s="40"/>
      <c r="X41" s="17">
        <f t="shared" si="6"/>
        <v>12.546274470334371</v>
      </c>
      <c r="Y41" s="17">
        <f t="shared" si="32"/>
        <v>12.533734466910749</v>
      </c>
      <c r="Z41" s="31">
        <f t="shared" si="7"/>
        <v>30.676447737968626</v>
      </c>
      <c r="AA41" s="31">
        <f t="shared" si="33"/>
        <v>29.646286456717963</v>
      </c>
      <c r="AB41" s="31">
        <f t="shared" si="8"/>
        <v>0.95944184079207728</v>
      </c>
      <c r="AC41" s="40"/>
      <c r="AD41" s="79">
        <f t="shared" si="34"/>
        <v>888888.88888888888</v>
      </c>
      <c r="AE41" s="79">
        <f t="shared" si="9"/>
        <v>480000</v>
      </c>
      <c r="AF41" s="31">
        <f t="shared" si="10"/>
        <v>0.98180460495701682</v>
      </c>
      <c r="AG41" s="68">
        <f t="shared" si="11"/>
        <v>2.0061983481480883E-3</v>
      </c>
      <c r="AH41" s="68">
        <f t="shared" si="35"/>
        <v>2.0711991746280864E-3</v>
      </c>
      <c r="AI41" s="31">
        <f t="shared" si="36"/>
        <v>-29.509313008858172</v>
      </c>
      <c r="AJ41" s="31">
        <f t="shared" si="37"/>
        <v>1.934585249654841</v>
      </c>
      <c r="AK41" s="31">
        <f t="shared" si="12"/>
        <v>0.99334250772387322</v>
      </c>
      <c r="AL41" s="40"/>
      <c r="AM41" s="79">
        <f t="shared" si="13"/>
        <v>35</v>
      </c>
      <c r="AN41" s="79">
        <f t="shared" si="14"/>
        <v>120000</v>
      </c>
      <c r="AO41" s="17"/>
      <c r="AP41" s="68">
        <f t="shared" si="15"/>
        <v>1.1282103873114494E-2</v>
      </c>
      <c r="AQ41" s="68">
        <f t="shared" si="38"/>
        <v>1.129338597698761E-2</v>
      </c>
      <c r="AR41" s="31">
        <f t="shared" si="39"/>
        <v>3.9960019501739108</v>
      </c>
      <c r="AS41" s="31">
        <f t="shared" si="40"/>
        <v>4.9999979521242466</v>
      </c>
      <c r="AT41" s="31">
        <f t="shared" si="41"/>
        <v>8.1898661316141287E-7</v>
      </c>
      <c r="AU41" s="40"/>
      <c r="AV41" s="82">
        <f t="shared" si="16"/>
        <v>85.289979093767442</v>
      </c>
      <c r="AW41" s="79">
        <f t="shared" si="17"/>
        <v>3843.3980337551502</v>
      </c>
      <c r="AX41" s="18">
        <f t="shared" si="42"/>
        <v>90.130789302592461</v>
      </c>
      <c r="AY41" s="31">
        <f t="shared" si="43"/>
        <v>4.5065394651296247</v>
      </c>
      <c r="AZ41" s="31">
        <f t="shared" si="18"/>
        <v>0.59686359090292651</v>
      </c>
      <c r="BA41" s="40"/>
      <c r="BB41" s="82">
        <f t="shared" si="19"/>
        <v>1110.5019414184903</v>
      </c>
      <c r="BC41" s="79">
        <f t="shared" si="20"/>
        <v>12010.135840516798</v>
      </c>
      <c r="BD41" s="31">
        <f t="shared" si="44"/>
        <v>4.231471924927817</v>
      </c>
      <c r="BE41" s="17">
        <f t="shared" si="45"/>
        <v>5.0777663099133813E-2</v>
      </c>
      <c r="BF41" s="31">
        <f t="shared" si="21"/>
        <v>0.87948709510507983</v>
      </c>
      <c r="BG41" s="40"/>
      <c r="BH41" s="80">
        <f t="shared" si="22"/>
        <v>4.8951949292916002</v>
      </c>
      <c r="BI41" s="80">
        <f t="shared" si="23"/>
        <v>3.088270846398566</v>
      </c>
      <c r="BJ41" s="18">
        <f t="shared" si="46"/>
        <v>41205.5504770189</v>
      </c>
      <c r="BK41" s="18">
        <f t="shared" si="47"/>
        <v>28.843885333913224</v>
      </c>
      <c r="BL41" s="31">
        <f t="shared" si="24"/>
        <v>0.99246638190994496</v>
      </c>
      <c r="BN41" s="31"/>
      <c r="BO41" s="31"/>
      <c r="BP41" s="31"/>
      <c r="BQ41" s="31">
        <v>1.2568265659104484E-3</v>
      </c>
      <c r="BR41" s="31">
        <v>0.97865738628784038</v>
      </c>
      <c r="BS41" s="31">
        <v>0.96566894797053571</v>
      </c>
      <c r="BT41" s="31">
        <v>0.99334250772380817</v>
      </c>
      <c r="BU41" s="31">
        <v>8.1898661316141287E-7</v>
      </c>
      <c r="BV41" s="31">
        <v>0.59686359090292651</v>
      </c>
      <c r="BW41" s="31">
        <v>0.87948709510507983</v>
      </c>
      <c r="BX41" s="31">
        <v>0.99246638190994496</v>
      </c>
      <c r="BY41" s="36"/>
      <c r="BZ41" s="36"/>
      <c r="CA41" s="83"/>
      <c r="CB41" s="83"/>
      <c r="CC41" s="83"/>
      <c r="CD41" s="83"/>
      <c r="CE41" s="83"/>
      <c r="CF41" s="83"/>
      <c r="CG41" s="83"/>
      <c r="CI41" s="31"/>
      <c r="CJ41" s="31"/>
    </row>
    <row r="42" spans="1:88" ht="34" x14ac:dyDescent="0.2">
      <c r="A42" s="85" t="s">
        <v>91</v>
      </c>
      <c r="B42" s="85" t="s">
        <v>92</v>
      </c>
      <c r="C42" s="86" t="s">
        <v>49</v>
      </c>
      <c r="D42" s="85" t="s">
        <v>93</v>
      </c>
      <c r="E42" s="86" t="s">
        <v>94</v>
      </c>
      <c r="F42" s="86" t="s">
        <v>95</v>
      </c>
      <c r="G42" s="79"/>
      <c r="H42" s="36">
        <v>4</v>
      </c>
      <c r="I42" s="79">
        <f t="shared" si="25"/>
        <v>432.01167903587242</v>
      </c>
      <c r="J42" s="79">
        <f t="shared" si="26"/>
        <v>389352.38474857737</v>
      </c>
      <c r="K42" s="80">
        <f t="shared" si="27"/>
        <v>19.286235671244306</v>
      </c>
      <c r="L42" s="68">
        <f t="shared" si="0"/>
        <v>2.117587491726973E-2</v>
      </c>
      <c r="M42" s="68">
        <f t="shared" si="1"/>
        <v>2.117587491726973E-2</v>
      </c>
      <c r="N42" s="31">
        <f t="shared" si="2"/>
        <v>-1.5998494005666775</v>
      </c>
      <c r="O42" s="31">
        <f t="shared" si="3"/>
        <v>-1.5998494005666775</v>
      </c>
      <c r="P42" s="31">
        <f t="shared" si="28"/>
        <v>1.3690857574784457E-4</v>
      </c>
      <c r="Q42" s="40"/>
      <c r="R42" s="81">
        <f t="shared" si="29"/>
        <v>0.18999234100308474</v>
      </c>
      <c r="S42" s="81">
        <f t="shared" si="4"/>
        <v>0.29109340532558819</v>
      </c>
      <c r="T42" s="31">
        <f t="shared" si="5"/>
        <v>0.97583701291879699</v>
      </c>
      <c r="U42" s="54">
        <f t="shared" si="30"/>
        <v>2534.7849922083838</v>
      </c>
      <c r="V42" s="31">
        <f t="shared" si="31"/>
        <v>4.3091344867542514</v>
      </c>
      <c r="W42" s="40"/>
      <c r="X42" s="17">
        <f t="shared" si="6"/>
        <v>12.545013201416237</v>
      </c>
      <c r="Y42" s="17">
        <f t="shared" si="32"/>
        <v>12.532474458631109</v>
      </c>
      <c r="Z42" s="31">
        <f t="shared" si="7"/>
        <v>30.572834496343848</v>
      </c>
      <c r="AA42" s="31">
        <f t="shared" si="33"/>
        <v>29.542776776545487</v>
      </c>
      <c r="AB42" s="31">
        <f t="shared" si="8"/>
        <v>0.9464536381336216</v>
      </c>
      <c r="AC42" s="40"/>
      <c r="AD42" s="79">
        <f t="shared" si="34"/>
        <v>888888.88888888888</v>
      </c>
      <c r="AE42" s="79">
        <f t="shared" si="9"/>
        <v>480000</v>
      </c>
      <c r="AF42" s="31">
        <f t="shared" si="10"/>
        <v>0.97581334467924008</v>
      </c>
      <c r="AG42" s="68">
        <f t="shared" si="11"/>
        <v>2.0061919593883848E-3</v>
      </c>
      <c r="AH42" s="68">
        <f t="shared" si="35"/>
        <v>2.0711925788725683E-3</v>
      </c>
      <c r="AI42" s="31">
        <f t="shared" si="36"/>
        <v>-29.512403546640421</v>
      </c>
      <c r="AJ42" s="31">
        <f t="shared" si="37"/>
        <v>1.9313945784482645</v>
      </c>
      <c r="AK42" s="31">
        <f t="shared" si="12"/>
        <v>0.99113320762238</v>
      </c>
      <c r="AL42" s="40"/>
      <c r="AM42" s="79">
        <f t="shared" si="13"/>
        <v>35</v>
      </c>
      <c r="AN42" s="79">
        <f t="shared" si="14"/>
        <v>120000</v>
      </c>
      <c r="AO42" s="17"/>
      <c r="AP42" s="68">
        <f t="shared" si="15"/>
        <v>1.1282103895888747E-2</v>
      </c>
      <c r="AQ42" s="68">
        <f t="shared" si="38"/>
        <v>1.1293385999784637E-2</v>
      </c>
      <c r="AR42" s="31">
        <f t="shared" si="39"/>
        <v>3.9960039768578426</v>
      </c>
      <c r="AS42" s="31">
        <f t="shared" si="40"/>
        <v>4.9999999808347795</v>
      </c>
      <c r="AT42" s="31">
        <f t="shared" si="41"/>
        <v>7.6645563185908118E-9</v>
      </c>
      <c r="AU42" s="40"/>
      <c r="AV42" s="82">
        <f t="shared" si="16"/>
        <v>103.3747085404184</v>
      </c>
      <c r="AW42" s="79">
        <f t="shared" si="17"/>
        <v>4658.3450455235161</v>
      </c>
      <c r="AX42" s="18">
        <f t="shared" si="42"/>
        <v>109.23845593858233</v>
      </c>
      <c r="AY42" s="31">
        <f t="shared" si="43"/>
        <v>5.4619227969291169</v>
      </c>
      <c r="AZ42" s="31">
        <f t="shared" si="18"/>
        <v>0.50253554250521548</v>
      </c>
      <c r="BA42" s="40"/>
      <c r="BB42" s="82">
        <f t="shared" si="19"/>
        <v>1067.8438576101305</v>
      </c>
      <c r="BC42" s="79">
        <f t="shared" si="20"/>
        <v>11548.786461352154</v>
      </c>
      <c r="BD42" s="31">
        <f t="shared" si="44"/>
        <v>4.0687966370973818</v>
      </c>
      <c r="BE42" s="17">
        <f t="shared" si="45"/>
        <v>4.882555964516859E-2</v>
      </c>
      <c r="BF42" s="31">
        <f t="shared" si="21"/>
        <v>0.84263461379264226</v>
      </c>
      <c r="BG42" s="40"/>
      <c r="BH42" s="80">
        <f t="shared" si="22"/>
        <v>4.9267669353546921</v>
      </c>
      <c r="BI42" s="80">
        <f t="shared" si="23"/>
        <v>3.1081889308253032</v>
      </c>
      <c r="BJ42" s="18">
        <f t="shared" si="46"/>
        <v>41469.981016589336</v>
      </c>
      <c r="BK42" s="18">
        <f t="shared" si="47"/>
        <v>29.028986711612532</v>
      </c>
      <c r="BL42" s="31">
        <f t="shared" si="24"/>
        <v>0.9899678093726656</v>
      </c>
      <c r="BN42" s="31"/>
      <c r="BO42" s="31"/>
      <c r="BP42" s="31"/>
      <c r="BQ42" s="31">
        <v>1.3690857574784457E-4</v>
      </c>
      <c r="BR42" s="31">
        <v>0.97164488993359299</v>
      </c>
      <c r="BS42" s="31">
        <v>0.95459009679945472</v>
      </c>
      <c r="BT42" s="31">
        <v>0.99113320762246904</v>
      </c>
      <c r="BU42" s="31">
        <v>7.6645563185908118E-9</v>
      </c>
      <c r="BV42" s="31">
        <v>0.50253554250521548</v>
      </c>
      <c r="BW42" s="31">
        <v>0.84263461379264226</v>
      </c>
      <c r="BX42" s="31">
        <v>0.9899678093726656</v>
      </c>
      <c r="BY42" s="36"/>
      <c r="BZ42" s="36"/>
      <c r="CA42" s="83"/>
      <c r="CB42" s="83"/>
      <c r="CC42" s="83"/>
      <c r="CD42" s="83"/>
      <c r="CE42" s="83"/>
      <c r="CF42" s="83"/>
      <c r="CG42" s="83"/>
      <c r="CI42" s="31"/>
      <c r="CJ42" s="31"/>
    </row>
    <row r="43" spans="1:88" x14ac:dyDescent="0.2">
      <c r="A43" s="87" t="s">
        <v>1</v>
      </c>
      <c r="B43" s="14" t="s">
        <v>42</v>
      </c>
      <c r="C43" s="88">
        <v>420</v>
      </c>
      <c r="D43" s="89" t="s">
        <v>96</v>
      </c>
      <c r="E43" s="88">
        <v>420</v>
      </c>
      <c r="F43" s="88">
        <v>432</v>
      </c>
      <c r="G43" s="79"/>
      <c r="H43" s="36">
        <v>5</v>
      </c>
      <c r="I43" s="79">
        <f t="shared" si="25"/>
        <v>432.01318651358866</v>
      </c>
      <c r="J43" s="79">
        <f t="shared" si="26"/>
        <v>389353.74336935603</v>
      </c>
      <c r="K43" s="80">
        <f t="shared" si="27"/>
        <v>19.286302969356637</v>
      </c>
      <c r="L43" s="68">
        <f t="shared" si="0"/>
        <v>2.1175872071043499E-2</v>
      </c>
      <c r="M43" s="68">
        <f t="shared" si="1"/>
        <v>2.1175872071043499E-2</v>
      </c>
      <c r="N43" s="31">
        <f t="shared" si="2"/>
        <v>-1.5999835944410234</v>
      </c>
      <c r="O43" s="31">
        <f t="shared" si="3"/>
        <v>-1.5999835944410234</v>
      </c>
      <c r="P43" s="31">
        <f t="shared" si="28"/>
        <v>1.491414452421806E-5</v>
      </c>
      <c r="Q43" s="40"/>
      <c r="R43" s="81">
        <f t="shared" si="29"/>
        <v>0.19122146275809568</v>
      </c>
      <c r="S43" s="81">
        <f t="shared" si="4"/>
        <v>0.29297658248597747</v>
      </c>
      <c r="T43" s="31">
        <f t="shared" si="5"/>
        <v>0.96988804968307174</v>
      </c>
      <c r="U43" s="54">
        <f t="shared" si="30"/>
        <v>2551.1744320082857</v>
      </c>
      <c r="V43" s="31">
        <f t="shared" si="31"/>
        <v>4.3369965344140864</v>
      </c>
      <c r="W43" s="40"/>
      <c r="X43" s="17">
        <f t="shared" si="6"/>
        <v>12.543776529091563</v>
      </c>
      <c r="Y43" s="17">
        <f t="shared" si="32"/>
        <v>12.53123902236063</v>
      </c>
      <c r="Z43" s="31">
        <f t="shared" si="7"/>
        <v>30.471241864871821</v>
      </c>
      <c r="AA43" s="31">
        <f t="shared" si="33"/>
        <v>29.441285686925724</v>
      </c>
      <c r="AB43" s="31">
        <f t="shared" si="8"/>
        <v>0.933718724473241</v>
      </c>
      <c r="AC43" s="40"/>
      <c r="AD43" s="79">
        <f t="shared" si="34"/>
        <v>888888.88888888888</v>
      </c>
      <c r="AE43" s="79">
        <f t="shared" si="9"/>
        <v>480000</v>
      </c>
      <c r="AF43" s="31">
        <f t="shared" si="10"/>
        <v>0.96985864483266826</v>
      </c>
      <c r="AG43" s="68">
        <f t="shared" si="11"/>
        <v>2.0061855848379669E-3</v>
      </c>
      <c r="AH43" s="68">
        <f t="shared" si="35"/>
        <v>2.0711859977867171E-3</v>
      </c>
      <c r="AI43" s="31">
        <f t="shared" si="36"/>
        <v>-29.515487210735824</v>
      </c>
      <c r="AJ43" s="31">
        <f t="shared" si="37"/>
        <v>1.928211003636493</v>
      </c>
      <c r="AK43" s="31">
        <f t="shared" si="12"/>
        <v>0.98892882124115067</v>
      </c>
      <c r="AL43" s="40"/>
      <c r="AM43" s="79">
        <f t="shared" si="13"/>
        <v>35</v>
      </c>
      <c r="AN43" s="79">
        <f t="shared" si="14"/>
        <v>120000</v>
      </c>
      <c r="AO43" s="17"/>
      <c r="AP43" s="68">
        <f t="shared" si="15"/>
        <v>1.128210389610188E-2</v>
      </c>
      <c r="AQ43" s="68">
        <f t="shared" si="38"/>
        <v>1.1293385999997983E-2</v>
      </c>
      <c r="AR43" s="31">
        <f t="shared" si="39"/>
        <v>3.9960039958246707</v>
      </c>
      <c r="AS43" s="31">
        <f t="shared" si="40"/>
        <v>4.9999999998207034</v>
      </c>
      <c r="AT43" s="31">
        <f t="shared" si="41"/>
        <v>7.1704299727405675E-11</v>
      </c>
      <c r="AU43" s="40"/>
      <c r="AV43" s="82">
        <f t="shared" si="16"/>
        <v>118.60133563252208</v>
      </c>
      <c r="AW43" s="79">
        <f t="shared" si="17"/>
        <v>5344.4982049958071</v>
      </c>
      <c r="AX43" s="18">
        <f t="shared" si="42"/>
        <v>125.32834918026172</v>
      </c>
      <c r="AY43" s="31">
        <f t="shared" si="43"/>
        <v>6.2664174590130877</v>
      </c>
      <c r="AZ43" s="31">
        <f t="shared" si="18"/>
        <v>0.4231150556511068</v>
      </c>
      <c r="BA43" s="40"/>
      <c r="BB43" s="82">
        <f t="shared" si="19"/>
        <v>1026.9732431633129</v>
      </c>
      <c r="BC43" s="79">
        <f t="shared" si="20"/>
        <v>11106.768655633894</v>
      </c>
      <c r="BD43" s="31">
        <f t="shared" si="44"/>
        <v>3.9130540178432218</v>
      </c>
      <c r="BE43" s="17">
        <f t="shared" si="45"/>
        <v>4.6956648214118678E-2</v>
      </c>
      <c r="BF43" s="31">
        <f t="shared" si="21"/>
        <v>0.80732633407957133</v>
      </c>
      <c r="BG43" s="40"/>
      <c r="BH43" s="80">
        <f t="shared" si="22"/>
        <v>4.958259457670291</v>
      </c>
      <c r="BI43" s="80">
        <f t="shared" si="23"/>
        <v>3.1280568707034186</v>
      </c>
      <c r="BJ43" s="18">
        <f t="shared" si="46"/>
        <v>41734.916790465169</v>
      </c>
      <c r="BK43" s="18">
        <f t="shared" si="47"/>
        <v>29.214441753325616</v>
      </c>
      <c r="BL43" s="31">
        <f t="shared" si="24"/>
        <v>0.98747552708847475</v>
      </c>
      <c r="BN43" s="31"/>
      <c r="BO43" s="31"/>
      <c r="BP43" s="31"/>
      <c r="BQ43" s="31">
        <v>1.491414452421806E-5</v>
      </c>
      <c r="BR43" s="31">
        <v>0.96468264109784152</v>
      </c>
      <c r="BS43" s="31">
        <v>0.94368691387029435</v>
      </c>
      <c r="BT43" s="31">
        <v>0.98892882124115356</v>
      </c>
      <c r="BU43" s="31">
        <v>7.1704299727405675E-11</v>
      </c>
      <c r="BV43" s="31">
        <v>0.4231150556511068</v>
      </c>
      <c r="BW43" s="31">
        <v>0.80732633407957133</v>
      </c>
      <c r="BX43" s="31">
        <v>0.98747552708847475</v>
      </c>
      <c r="BY43" s="36"/>
      <c r="BZ43" s="36"/>
      <c r="CA43" s="83"/>
      <c r="CB43" s="83"/>
      <c r="CC43" s="83"/>
      <c r="CD43" s="83"/>
      <c r="CE43" s="83"/>
      <c r="CF43" s="83"/>
      <c r="CG43" s="83"/>
      <c r="CI43" s="31"/>
      <c r="CJ43" s="31"/>
    </row>
    <row r="44" spans="1:88" ht="17" x14ac:dyDescent="0.2">
      <c r="A44" s="87" t="s">
        <v>2</v>
      </c>
      <c r="B44" s="14" t="s">
        <v>42</v>
      </c>
      <c r="C44" s="90">
        <v>389354</v>
      </c>
      <c r="D44" s="91" t="s">
        <v>97</v>
      </c>
      <c r="E44" s="88">
        <v>378527</v>
      </c>
      <c r="F44" s="88">
        <v>389354</v>
      </c>
      <c r="G44" s="79"/>
      <c r="H44" s="36">
        <v>7</v>
      </c>
      <c r="I44" s="79">
        <f t="shared" si="25"/>
        <v>432.01336862047918</v>
      </c>
      <c r="J44" s="79">
        <f t="shared" si="26"/>
        <v>389353.90749397478</v>
      </c>
      <c r="K44" s="80">
        <f t="shared" si="27"/>
        <v>19.286311099128536</v>
      </c>
      <c r="L44" s="68">
        <f t="shared" si="0"/>
        <v>2.1175871727213951E-2</v>
      </c>
      <c r="M44" s="68">
        <f t="shared" si="1"/>
        <v>2.1175871727213951E-2</v>
      </c>
      <c r="N44" s="31">
        <f t="shared" si="2"/>
        <v>-1.5999998053165543</v>
      </c>
      <c r="O44" s="31">
        <f t="shared" si="3"/>
        <v>-1.5999998053165543</v>
      </c>
      <c r="P44" s="31">
        <f t="shared" si="28"/>
        <v>1.7698495073533008E-7</v>
      </c>
      <c r="Q44" s="40"/>
      <c r="R44" s="81">
        <f t="shared" si="29"/>
        <v>0.19365727278363035</v>
      </c>
      <c r="S44" s="81">
        <f t="shared" si="4"/>
        <v>0.29670856574022653</v>
      </c>
      <c r="T44" s="31">
        <f t="shared" si="5"/>
        <v>0.95809870153099408</v>
      </c>
      <c r="U44" s="54">
        <f t="shared" si="30"/>
        <v>2583.6706168509477</v>
      </c>
      <c r="V44" s="31">
        <f t="shared" si="31"/>
        <v>4.3922400486466104</v>
      </c>
      <c r="W44" s="40"/>
      <c r="X44" s="17">
        <f t="shared" si="6"/>
        <v>12.541374288788006</v>
      </c>
      <c r="Y44" s="17">
        <f t="shared" si="32"/>
        <v>12.528839183096656</v>
      </c>
      <c r="Z44" s="31">
        <f t="shared" si="7"/>
        <v>30.273897823934746</v>
      </c>
      <c r="AA44" s="31">
        <f t="shared" si="33"/>
        <v>29.244138891390214</v>
      </c>
      <c r="AB44" s="31">
        <f t="shared" si="8"/>
        <v>0.90898111027509043</v>
      </c>
      <c r="AC44" s="40"/>
      <c r="AD44" s="79">
        <f t="shared" si="34"/>
        <v>888888.88888888888</v>
      </c>
      <c r="AE44" s="79">
        <f t="shared" si="9"/>
        <v>480000</v>
      </c>
      <c r="AF44" s="31">
        <f t="shared" si="10"/>
        <v>0.95805803538458667</v>
      </c>
      <c r="AG44" s="68">
        <f t="shared" si="11"/>
        <v>2.0061728782386468E-3</v>
      </c>
      <c r="AH44" s="68">
        <f t="shared" si="35"/>
        <v>2.0711728794935791E-3</v>
      </c>
      <c r="AI44" s="31">
        <f t="shared" si="36"/>
        <v>-29.521633978982777</v>
      </c>
      <c r="AJ44" s="31">
        <f t="shared" si="37"/>
        <v>1.9218650800982839</v>
      </c>
      <c r="AK44" s="31">
        <f t="shared" si="12"/>
        <v>0.9845347459481103</v>
      </c>
      <c r="AL44" s="40"/>
      <c r="AM44" s="79">
        <f t="shared" si="13"/>
        <v>35</v>
      </c>
      <c r="AN44" s="79">
        <f t="shared" si="14"/>
        <v>120000</v>
      </c>
      <c r="AO44" s="17"/>
      <c r="AP44" s="68">
        <f t="shared" si="15"/>
        <v>1.1282103896103894E-2</v>
      </c>
      <c r="AQ44" s="68">
        <f t="shared" si="38"/>
        <v>1.1293385999999999E-2</v>
      </c>
      <c r="AR44" s="31">
        <f t="shared" si="39"/>
        <v>3.9960039960038607</v>
      </c>
      <c r="AS44" s="31">
        <f t="shared" si="40"/>
        <v>4.9999999999998934</v>
      </c>
      <c r="AT44" s="31">
        <f t="shared" si="41"/>
        <v>4.2624045015548035E-14</v>
      </c>
      <c r="AU44" s="40"/>
      <c r="AV44" s="82">
        <f t="shared" si="16"/>
        <v>142.21567011452157</v>
      </c>
      <c r="AW44" s="79">
        <f t="shared" si="17"/>
        <v>6408.6242334096842</v>
      </c>
      <c r="AX44" s="18">
        <f t="shared" si="42"/>
        <v>150.28201457212464</v>
      </c>
      <c r="AY44" s="31">
        <f t="shared" si="43"/>
        <v>7.5141007286062331</v>
      </c>
      <c r="AZ44" s="31">
        <f t="shared" si="18"/>
        <v>0.2999451684560131</v>
      </c>
      <c r="BA44" s="40"/>
      <c r="BB44" s="82">
        <f t="shared" si="19"/>
        <v>950.29796489247656</v>
      </c>
      <c r="BC44" s="79">
        <f t="shared" si="20"/>
        <v>10277.5215617784</v>
      </c>
      <c r="BD44" s="31">
        <f t="shared" si="44"/>
        <v>3.6208983310280858</v>
      </c>
      <c r="BE44" s="17">
        <f t="shared" si="45"/>
        <v>4.3450779972337046E-2</v>
      </c>
      <c r="BF44" s="31">
        <f t="shared" si="21"/>
        <v>0.74108626871948169</v>
      </c>
      <c r="BG44" s="40"/>
      <c r="BH44" s="80">
        <f t="shared" si="22"/>
        <v>5.0210068509688845</v>
      </c>
      <c r="BI44" s="80">
        <f t="shared" si="23"/>
        <v>3.1676428214593351</v>
      </c>
      <c r="BJ44" s="18">
        <f t="shared" si="46"/>
        <v>42263.059564797069</v>
      </c>
      <c r="BK44" s="18">
        <f t="shared" si="47"/>
        <v>29.584141695357943</v>
      </c>
      <c r="BL44" s="31">
        <f t="shared" si="24"/>
        <v>0.98250976997540351</v>
      </c>
      <c r="BN44" s="31"/>
      <c r="BO44" s="31"/>
      <c r="BP44" s="31"/>
      <c r="BQ44" s="31">
        <v>1.7698495073533008E-7</v>
      </c>
      <c r="BR44" s="31">
        <v>0.95090744838234664</v>
      </c>
      <c r="BS44" s="31">
        <v>0.92239217846862942</v>
      </c>
      <c r="BT44" s="31">
        <v>0.98453474594811252</v>
      </c>
      <c r="BU44" s="31">
        <v>4.2624045015548035E-14</v>
      </c>
      <c r="BV44" s="31">
        <v>0.2999451684560131</v>
      </c>
      <c r="BW44" s="31">
        <v>0.74108626871948169</v>
      </c>
      <c r="BX44" s="31">
        <v>0.98250976997540351</v>
      </c>
      <c r="BY44" s="36"/>
      <c r="BZ44" s="36"/>
      <c r="CA44" s="83"/>
      <c r="CB44" s="83"/>
      <c r="CC44" s="83"/>
      <c r="CD44" s="83"/>
      <c r="CE44" s="83"/>
      <c r="CF44" s="83"/>
      <c r="CG44" s="83"/>
      <c r="CI44" s="31"/>
      <c r="CJ44" s="31"/>
    </row>
    <row r="45" spans="1:88" x14ac:dyDescent="0.2">
      <c r="A45" s="92" t="s">
        <v>98</v>
      </c>
      <c r="B45" s="14" t="s">
        <v>99</v>
      </c>
      <c r="C45" s="93">
        <v>-0.5</v>
      </c>
      <c r="D45" s="89" t="s">
        <v>96</v>
      </c>
      <c r="E45" s="94">
        <v>-0.5</v>
      </c>
      <c r="F45" s="94">
        <v>-1.6</v>
      </c>
      <c r="G45" s="79"/>
      <c r="H45" s="36">
        <v>9</v>
      </c>
      <c r="I45" s="79">
        <f t="shared" si="25"/>
        <v>432.01337078152915</v>
      </c>
      <c r="J45" s="79">
        <f t="shared" si="26"/>
        <v>389353.9094416303</v>
      </c>
      <c r="K45" s="80">
        <f t="shared" si="27"/>
        <v>19.286311195603982</v>
      </c>
      <c r="L45" s="68">
        <f t="shared" si="0"/>
        <v>2.117587172313375E-2</v>
      </c>
      <c r="M45" s="68">
        <f t="shared" si="1"/>
        <v>2.117587172313375E-2</v>
      </c>
      <c r="N45" s="31">
        <f t="shared" si="2"/>
        <v>-1.5999999976898938</v>
      </c>
      <c r="O45" s="31">
        <f t="shared" si="3"/>
        <v>-1.5999999976898938</v>
      </c>
      <c r="P45" s="31">
        <f t="shared" si="28"/>
        <v>2.1000966622285555E-9</v>
      </c>
      <c r="Q45" s="40"/>
      <c r="R45" s="81">
        <f t="shared" si="29"/>
        <v>0.19606347463693036</v>
      </c>
      <c r="S45" s="81">
        <f t="shared" si="4"/>
        <v>0.30039518535699561</v>
      </c>
      <c r="T45" s="31">
        <f t="shared" si="5"/>
        <v>0.94645265726836636</v>
      </c>
      <c r="U45" s="54">
        <f t="shared" si="30"/>
        <v>2615.772847783217</v>
      </c>
      <c r="V45" s="31">
        <f t="shared" si="31"/>
        <v>4.4468138412314699</v>
      </c>
      <c r="W45" s="40"/>
      <c r="X45" s="17">
        <f t="shared" si="6"/>
        <v>12.539062617577148</v>
      </c>
      <c r="Y45" s="17">
        <f t="shared" si="32"/>
        <v>12.526529822401558</v>
      </c>
      <c r="Z45" s="31">
        <f t="shared" si="7"/>
        <v>30.083994033962782</v>
      </c>
      <c r="AA45" s="31">
        <f t="shared" si="33"/>
        <v>29.054424910287977</v>
      </c>
      <c r="AB45" s="31">
        <f t="shared" si="8"/>
        <v>0.88517615184421672</v>
      </c>
      <c r="AC45" s="40"/>
      <c r="AD45" s="79">
        <f t="shared" si="34"/>
        <v>888888.88888888888</v>
      </c>
      <c r="AE45" s="79">
        <f t="shared" si="9"/>
        <v>480000</v>
      </c>
      <c r="AF45" s="31">
        <f t="shared" si="10"/>
        <v>0.94640100808024119</v>
      </c>
      <c r="AG45" s="68">
        <f t="shared" si="11"/>
        <v>2.0061602280981462E-3</v>
      </c>
      <c r="AH45" s="68">
        <f t="shared" si="35"/>
        <v>2.0711598194885265E-3</v>
      </c>
      <c r="AI45" s="31">
        <f t="shared" si="36"/>
        <v>-29.527753435494297</v>
      </c>
      <c r="AJ45" s="31">
        <f t="shared" si="37"/>
        <v>1.9155473531957679</v>
      </c>
      <c r="AK45" s="31">
        <f t="shared" si="12"/>
        <v>0.98016019470692761</v>
      </c>
      <c r="AL45" s="40"/>
      <c r="AM45" s="79">
        <f t="shared" si="13"/>
        <v>35</v>
      </c>
      <c r="AN45" s="79">
        <f t="shared" si="14"/>
        <v>120000</v>
      </c>
      <c r="AO45" s="17"/>
      <c r="AP45" s="68">
        <f t="shared" si="15"/>
        <v>1.1282103896103894E-2</v>
      </c>
      <c r="AQ45" s="68">
        <f t="shared" si="38"/>
        <v>1.1293385999999999E-2</v>
      </c>
      <c r="AR45" s="31">
        <f t="shared" si="39"/>
        <v>3.9960039960038607</v>
      </c>
      <c r="AS45" s="31">
        <f t="shared" si="40"/>
        <v>4.9999999999998934</v>
      </c>
      <c r="AT45" s="31">
        <f t="shared" si="41"/>
        <v>4.2624045015548035E-14</v>
      </c>
      <c r="AU45" s="40"/>
      <c r="AV45" s="82">
        <f t="shared" si="16"/>
        <v>158.9558107443093</v>
      </c>
      <c r="AW45" s="79">
        <f t="shared" si="17"/>
        <v>7162.9804223187784</v>
      </c>
      <c r="AX45" s="18">
        <f t="shared" si="42"/>
        <v>167.97164003002231</v>
      </c>
      <c r="AY45" s="31">
        <f t="shared" si="43"/>
        <v>8.3985820015011168</v>
      </c>
      <c r="AZ45" s="31">
        <f t="shared" si="18"/>
        <v>0.21263035403375344</v>
      </c>
      <c r="BA45" s="40"/>
      <c r="BB45" s="82">
        <f t="shared" si="19"/>
        <v>879.91379249762281</v>
      </c>
      <c r="BC45" s="79">
        <f t="shared" si="20"/>
        <v>9516.3131028316457</v>
      </c>
      <c r="BD45" s="31">
        <f t="shared" si="44"/>
        <v>3.3527151319597843</v>
      </c>
      <c r="BE45" s="17">
        <f t="shared" si="45"/>
        <v>4.0232581583517418E-2</v>
      </c>
      <c r="BF45" s="31">
        <f t="shared" si="21"/>
        <v>0.68028111372176903</v>
      </c>
      <c r="BG45" s="40"/>
      <c r="BH45" s="80">
        <f t="shared" si="22"/>
        <v>5.0834387039770572</v>
      </c>
      <c r="BI45" s="80">
        <f t="shared" si="23"/>
        <v>3.2070297047840572</v>
      </c>
      <c r="BJ45" s="18">
        <f t="shared" si="46"/>
        <v>42788.56373677776</v>
      </c>
      <c r="BK45" s="18">
        <f t="shared" si="47"/>
        <v>29.951994615744422</v>
      </c>
      <c r="BL45" s="31">
        <f t="shared" si="24"/>
        <v>0.97756898436089568</v>
      </c>
      <c r="BN45" s="31"/>
      <c r="BO45" s="31"/>
      <c r="BP45" s="31"/>
      <c r="BQ45" s="31">
        <v>2.1000966622285555E-9</v>
      </c>
      <c r="BR45" s="31">
        <v>0.93732895863036014</v>
      </c>
      <c r="BS45" s="31">
        <v>0.90175509116492347</v>
      </c>
      <c r="BT45" s="31">
        <v>0.98016019470690185</v>
      </c>
      <c r="BU45" s="31">
        <v>4.2624045015548035E-14</v>
      </c>
      <c r="BV45" s="31">
        <v>0.21263035403375344</v>
      </c>
      <c r="BW45" s="31">
        <v>0.68028111372176903</v>
      </c>
      <c r="BX45" s="31">
        <v>0.97756898436089568</v>
      </c>
      <c r="BY45" s="36"/>
      <c r="BZ45" s="36"/>
      <c r="CA45" s="83"/>
      <c r="CB45" s="83"/>
      <c r="CC45" s="83"/>
      <c r="CD45" s="83"/>
      <c r="CE45" s="83"/>
      <c r="CF45" s="83"/>
      <c r="CG45" s="83"/>
      <c r="CI45" s="31"/>
      <c r="CJ45" s="31"/>
    </row>
    <row r="46" spans="1:88" x14ac:dyDescent="0.2">
      <c r="A46" s="95" t="s">
        <v>100</v>
      </c>
      <c r="B46" s="96" t="s">
        <v>99</v>
      </c>
      <c r="C46" s="97">
        <v>-1.6</v>
      </c>
      <c r="D46" s="98" t="s">
        <v>96</v>
      </c>
      <c r="E46" s="99">
        <v>-0.5</v>
      </c>
      <c r="F46" s="99">
        <v>-1.6</v>
      </c>
      <c r="G46" s="79"/>
      <c r="H46" s="36">
        <v>12</v>
      </c>
      <c r="I46" s="79">
        <f t="shared" si="25"/>
        <v>432.01337080744861</v>
      </c>
      <c r="J46" s="79">
        <f t="shared" si="26"/>
        <v>389353.90946499037</v>
      </c>
      <c r="K46" s="80">
        <f t="shared" si="27"/>
        <v>19.286311196761101</v>
      </c>
      <c r="L46" s="68">
        <f t="shared" si="0"/>
        <v>2.117587172308481E-2</v>
      </c>
      <c r="M46" s="68">
        <f t="shared" si="1"/>
        <v>2.117587172308481E-2</v>
      </c>
      <c r="N46" s="31">
        <f t="shared" si="2"/>
        <v>-1.5999999999972703</v>
      </c>
      <c r="O46" s="31">
        <f t="shared" si="3"/>
        <v>-1.5999999999972703</v>
      </c>
      <c r="P46" s="31">
        <f t="shared" si="28"/>
        <v>2.4816512481348498E-12</v>
      </c>
      <c r="Q46" s="40"/>
      <c r="R46" s="81">
        <f t="shared" si="29"/>
        <v>0.19961804817378526</v>
      </c>
      <c r="S46" s="81">
        <f t="shared" si="4"/>
        <v>0.30584126234020675</v>
      </c>
      <c r="T46" s="31">
        <f t="shared" si="5"/>
        <v>0.92924848103177926</v>
      </c>
      <c r="U46" s="54">
        <f t="shared" si="30"/>
        <v>2663.1960454443015</v>
      </c>
      <c r="V46" s="31">
        <f t="shared" si="31"/>
        <v>4.5274332772553114</v>
      </c>
      <c r="W46" s="40"/>
      <c r="X46" s="17">
        <f t="shared" si="6"/>
        <v>12.53575457776898</v>
      </c>
      <c r="Y46" s="17">
        <f t="shared" si="32"/>
        <v>12.52322508897973</v>
      </c>
      <c r="Z46" s="31">
        <f t="shared" si="7"/>
        <v>29.812238563721614</v>
      </c>
      <c r="AA46" s="31">
        <f t="shared" si="33"/>
        <v>28.78294105968493</v>
      </c>
      <c r="AB46" s="31">
        <f t="shared" si="8"/>
        <v>0.85111086187078311</v>
      </c>
      <c r="AC46" s="40"/>
      <c r="AD46" s="79">
        <f t="shared" si="34"/>
        <v>888888.88888888888</v>
      </c>
      <c r="AE46" s="79">
        <f t="shared" si="9"/>
        <v>480000</v>
      </c>
      <c r="AF46" s="31">
        <f t="shared" si="10"/>
        <v>0.92918086786914367</v>
      </c>
      <c r="AG46" s="68">
        <f t="shared" si="11"/>
        <v>2.006141358199228E-3</v>
      </c>
      <c r="AH46" s="68">
        <f t="shared" si="35"/>
        <v>2.0711403382048829E-3</v>
      </c>
      <c r="AI46" s="31">
        <f t="shared" si="36"/>
        <v>-29.536881676070049</v>
      </c>
      <c r="AJ46" s="31">
        <f t="shared" si="37"/>
        <v>1.906123357625189</v>
      </c>
      <c r="AK46" s="31">
        <f t="shared" si="12"/>
        <v>0.97363478578117035</v>
      </c>
      <c r="AL46" s="40"/>
      <c r="AM46" s="79">
        <f t="shared" si="13"/>
        <v>35</v>
      </c>
      <c r="AN46" s="79">
        <f t="shared" si="14"/>
        <v>120000</v>
      </c>
      <c r="AO46" s="17"/>
      <c r="AP46" s="68">
        <f t="shared" si="15"/>
        <v>1.1282103896103894E-2</v>
      </c>
      <c r="AQ46" s="68">
        <f t="shared" si="38"/>
        <v>1.1293385999999999E-2</v>
      </c>
      <c r="AR46" s="31">
        <f t="shared" si="39"/>
        <v>3.9960039960038607</v>
      </c>
      <c r="AS46" s="31">
        <f t="shared" si="40"/>
        <v>4.9999999999998934</v>
      </c>
      <c r="AT46" s="31">
        <f t="shared" si="41"/>
        <v>4.2624045015548035E-14</v>
      </c>
      <c r="AU46" s="40"/>
      <c r="AV46" s="82">
        <f t="shared" si="16"/>
        <v>175.39000636227848</v>
      </c>
      <c r="AW46" s="79">
        <f t="shared" si="17"/>
        <v>7903.5498983062089</v>
      </c>
      <c r="AX46" s="18">
        <f t="shared" si="42"/>
        <v>185.3379682933996</v>
      </c>
      <c r="AY46" s="31">
        <f t="shared" si="43"/>
        <v>9.2668984146699795</v>
      </c>
      <c r="AZ46" s="31">
        <f t="shared" si="18"/>
        <v>0.1269113166435466</v>
      </c>
      <c r="BA46" s="40"/>
      <c r="BB46" s="82">
        <f t="shared" si="19"/>
        <v>785.01589784376893</v>
      </c>
      <c r="BC46" s="79">
        <f t="shared" si="20"/>
        <v>8489.987471814733</v>
      </c>
      <c r="BD46" s="31">
        <f t="shared" si="44"/>
        <v>2.9911278829954271</v>
      </c>
      <c r="BE46" s="17">
        <f t="shared" si="45"/>
        <v>3.5893534595945124E-2</v>
      </c>
      <c r="BF46" s="31">
        <f t="shared" si="21"/>
        <v>0.59829846056200708</v>
      </c>
      <c r="BG46" s="40"/>
      <c r="BH46" s="80">
        <f t="shared" si="22"/>
        <v>5.1764983143209538</v>
      </c>
      <c r="BI46" s="80">
        <f t="shared" si="23"/>
        <v>3.2657389667753574</v>
      </c>
      <c r="BJ46" s="18">
        <f t="shared" si="46"/>
        <v>43571.869543556786</v>
      </c>
      <c r="BK46" s="18">
        <f t="shared" si="47"/>
        <v>30.500308680489745</v>
      </c>
      <c r="BL46" s="31">
        <f t="shared" si="24"/>
        <v>0.97020435297603769</v>
      </c>
      <c r="BN46" s="31"/>
      <c r="BO46" s="31"/>
      <c r="BP46" s="31"/>
      <c r="BQ46" s="31">
        <v>2.4816512481348498E-12</v>
      </c>
      <c r="BR46" s="31">
        <v>0.9173239087450914</v>
      </c>
      <c r="BS46" s="31">
        <v>0.87197177098463063</v>
      </c>
      <c r="BT46" s="31">
        <v>0.97363478578118801</v>
      </c>
      <c r="BU46" s="31">
        <v>4.2624045015548035E-14</v>
      </c>
      <c r="BV46" s="31">
        <v>0.1269113166435466</v>
      </c>
      <c r="BW46" s="31">
        <v>0.59829846056200708</v>
      </c>
      <c r="BX46" s="31">
        <v>0.97020435297603769</v>
      </c>
      <c r="BY46" s="36"/>
      <c r="BZ46" s="36"/>
      <c r="CA46" s="83"/>
      <c r="CB46" s="83"/>
      <c r="CC46" s="83"/>
      <c r="CD46" s="83"/>
      <c r="CE46" s="83"/>
      <c r="CF46" s="83"/>
      <c r="CG46" s="83"/>
      <c r="CI46" s="31"/>
      <c r="CJ46" s="31"/>
    </row>
    <row r="47" spans="1:88" x14ac:dyDescent="0.2">
      <c r="A47" s="87" t="s">
        <v>7</v>
      </c>
      <c r="B47" s="14" t="s">
        <v>42</v>
      </c>
      <c r="C47" s="100">
        <v>0.185</v>
      </c>
      <c r="D47" s="101" t="s">
        <v>101</v>
      </c>
      <c r="E47" s="100">
        <v>0.185</v>
      </c>
      <c r="F47" s="100">
        <v>0.28299999999999997</v>
      </c>
      <c r="G47" s="79"/>
      <c r="H47" s="36">
        <v>15</v>
      </c>
      <c r="I47" s="79">
        <f t="shared" si="25"/>
        <v>432.01337080748209</v>
      </c>
      <c r="J47" s="79">
        <f t="shared" si="26"/>
        <v>389353.90946502052</v>
      </c>
      <c r="K47" s="80">
        <f t="shared" si="27"/>
        <v>19.286311196762593</v>
      </c>
      <c r="L47" s="68">
        <f t="shared" si="0"/>
        <v>2.1175871723084747E-2</v>
      </c>
      <c r="M47" s="68">
        <f t="shared" si="1"/>
        <v>2.1175871723084747E-2</v>
      </c>
      <c r="N47" s="31">
        <f t="shared" si="2"/>
        <v>-1.6000000000002679</v>
      </c>
      <c r="O47" s="31">
        <f t="shared" si="3"/>
        <v>-1.6000000000002679</v>
      </c>
      <c r="P47" s="31">
        <f t="shared" si="28"/>
        <v>-2.434416304905343E-13</v>
      </c>
      <c r="Q47" s="40"/>
      <c r="R47" s="81">
        <f t="shared" si="29"/>
        <v>0.20310800832601458</v>
      </c>
      <c r="S47" s="81">
        <f t="shared" si="4"/>
        <v>0.31118834306882703</v>
      </c>
      <c r="T47" s="31">
        <f t="shared" si="5"/>
        <v>0.9123570343096653</v>
      </c>
      <c r="U47" s="54">
        <f t="shared" si="30"/>
        <v>2709.757206427309</v>
      </c>
      <c r="V47" s="31">
        <f t="shared" si="31"/>
        <v>4.6065872509264247</v>
      </c>
      <c r="W47" s="40"/>
      <c r="X47" s="17">
        <f t="shared" si="6"/>
        <v>12.53262490335706</v>
      </c>
      <c r="Y47" s="17">
        <f t="shared" si="32"/>
        <v>12.520098542677907</v>
      </c>
      <c r="Z47" s="31">
        <f t="shared" si="7"/>
        <v>29.555135810782616</v>
      </c>
      <c r="AA47" s="31">
        <f t="shared" si="33"/>
        <v>28.526095280990038</v>
      </c>
      <c r="AB47" s="31">
        <f t="shared" si="8"/>
        <v>0.81888233000691513</v>
      </c>
      <c r="AC47" s="40"/>
      <c r="AD47" s="79">
        <f t="shared" si="34"/>
        <v>888888.88888888888</v>
      </c>
      <c r="AE47" s="79">
        <f t="shared" si="9"/>
        <v>480000</v>
      </c>
      <c r="AF47" s="31">
        <f t="shared" si="10"/>
        <v>0.91227405491188263</v>
      </c>
      <c r="AG47" s="68">
        <f t="shared" si="11"/>
        <v>2.0061226139265159E-3</v>
      </c>
      <c r="AH47" s="68">
        <f t="shared" si="35"/>
        <v>2.0711209866177351E-3</v>
      </c>
      <c r="AI47" s="31">
        <f t="shared" si="36"/>
        <v>-29.545949145454721</v>
      </c>
      <c r="AJ47" s="31">
        <f t="shared" si="37"/>
        <v>1.896762102232552</v>
      </c>
      <c r="AK47" s="31">
        <f t="shared" si="12"/>
        <v>0.96715281971508749</v>
      </c>
      <c r="AL47" s="40"/>
      <c r="AM47" s="79">
        <f t="shared" si="13"/>
        <v>35</v>
      </c>
      <c r="AN47" s="79">
        <f t="shared" si="14"/>
        <v>120000</v>
      </c>
      <c r="AO47" s="17"/>
      <c r="AP47" s="68">
        <f t="shared" si="15"/>
        <v>1.1282103896103894E-2</v>
      </c>
      <c r="AQ47" s="68">
        <f t="shared" si="38"/>
        <v>1.1293385999999999E-2</v>
      </c>
      <c r="AR47" s="31">
        <f t="shared" si="39"/>
        <v>3.9960039960038607</v>
      </c>
      <c r="AS47" s="31">
        <f t="shared" si="40"/>
        <v>4.9999999999998934</v>
      </c>
      <c r="AT47" s="31">
        <f t="shared" si="41"/>
        <v>4.2624045015548035E-14</v>
      </c>
      <c r="AU47" s="40"/>
      <c r="AV47" s="82">
        <f t="shared" si="16"/>
        <v>185.19897937242069</v>
      </c>
      <c r="AW47" s="79">
        <f t="shared" si="17"/>
        <v>8345.5688550571649</v>
      </c>
      <c r="AX47" s="18">
        <f t="shared" si="42"/>
        <v>195.70329734747784</v>
      </c>
      <c r="AY47" s="31">
        <f t="shared" si="43"/>
        <v>9.7851648673738918</v>
      </c>
      <c r="AZ47" s="31">
        <f t="shared" si="18"/>
        <v>7.5748744178085567E-2</v>
      </c>
      <c r="BA47" s="40"/>
      <c r="BB47" s="82">
        <f t="shared" si="19"/>
        <v>701.55442414306299</v>
      </c>
      <c r="BC47" s="79">
        <f t="shared" si="20"/>
        <v>7587.3473239597806</v>
      </c>
      <c r="BD47" s="31">
        <f t="shared" si="44"/>
        <v>2.6731165639534313</v>
      </c>
      <c r="BE47" s="17">
        <f t="shared" si="45"/>
        <v>3.207739876744118E-2</v>
      </c>
      <c r="BF47" s="31">
        <f t="shared" si="21"/>
        <v>0.52619577508552084</v>
      </c>
      <c r="BG47" s="40"/>
      <c r="BH47" s="80">
        <f t="shared" si="22"/>
        <v>5.2688568491009082</v>
      </c>
      <c r="BI47" s="80">
        <f t="shared" si="23"/>
        <v>3.3240059356084659</v>
      </c>
      <c r="BJ47" s="18">
        <f t="shared" si="46"/>
        <v>44349.274226084213</v>
      </c>
      <c r="BK47" s="18">
        <f t="shared" si="47"/>
        <v>31.044491958258952</v>
      </c>
      <c r="BL47" s="31">
        <f t="shared" si="24"/>
        <v>0.96289520391140737</v>
      </c>
      <c r="BN47" s="31"/>
      <c r="BO47" s="31"/>
      <c r="BP47" s="31"/>
      <c r="BQ47" s="31">
        <v>-2.434416304905343E-13</v>
      </c>
      <c r="BR47" s="31">
        <v>0.8977458189118166</v>
      </c>
      <c r="BS47" s="31">
        <v>0.84351757706824304</v>
      </c>
      <c r="BT47" s="31">
        <v>0.96715281971513523</v>
      </c>
      <c r="BU47" s="31">
        <v>4.2624045015548035E-14</v>
      </c>
      <c r="BV47" s="31">
        <v>7.5748744178085567E-2</v>
      </c>
      <c r="BW47" s="31">
        <v>0.52619577508552084</v>
      </c>
      <c r="BX47" s="31">
        <v>0.96289520391140737</v>
      </c>
      <c r="BY47" s="36"/>
      <c r="BZ47" s="36"/>
      <c r="CA47" s="83"/>
      <c r="CB47" s="83"/>
      <c r="CC47" s="83"/>
      <c r="CD47" s="83"/>
      <c r="CE47" s="83"/>
      <c r="CF47" s="83"/>
      <c r="CG47" s="83"/>
      <c r="CI47" s="31"/>
      <c r="CJ47" s="31"/>
    </row>
    <row r="48" spans="1:88" x14ac:dyDescent="0.2">
      <c r="A48" s="87" t="s">
        <v>8</v>
      </c>
      <c r="B48" s="14" t="s">
        <v>42</v>
      </c>
      <c r="C48" s="100">
        <v>0.51</v>
      </c>
      <c r="D48" s="101" t="s">
        <v>102</v>
      </c>
      <c r="E48" s="100">
        <v>0.33300000000000002</v>
      </c>
      <c r="F48" s="100">
        <v>0.51</v>
      </c>
      <c r="G48" s="79"/>
      <c r="H48" s="36">
        <v>18.999999999999982</v>
      </c>
      <c r="I48" s="79">
        <f t="shared" si="25"/>
        <v>432.01337080748215</v>
      </c>
      <c r="J48" s="79">
        <f t="shared" si="26"/>
        <v>389353.90946502058</v>
      </c>
      <c r="K48" s="80">
        <f t="shared" si="27"/>
        <v>19.286311196762597</v>
      </c>
      <c r="L48" s="68">
        <f t="shared" si="0"/>
        <v>2.1175871723084751E-2</v>
      </c>
      <c r="M48" s="68">
        <f t="shared" si="1"/>
        <v>2.1175871723084751E-2</v>
      </c>
      <c r="N48" s="31">
        <f t="shared" si="2"/>
        <v>-1.6000000000000458</v>
      </c>
      <c r="O48" s="31">
        <f t="shared" si="3"/>
        <v>-1.6000000000000458</v>
      </c>
      <c r="P48" s="31">
        <f t="shared" si="28"/>
        <v>-4.1582898740505859E-14</v>
      </c>
      <c r="Q48" s="40"/>
      <c r="R48" s="81">
        <f t="shared" si="29"/>
        <v>0.20766280575785148</v>
      </c>
      <c r="S48" s="81">
        <f t="shared" si="4"/>
        <v>0.31816689540415577</v>
      </c>
      <c r="T48" s="31">
        <f t="shared" si="5"/>
        <v>0.89031176307619619</v>
      </c>
      <c r="U48" s="54">
        <f t="shared" si="30"/>
        <v>2770.5248505318459</v>
      </c>
      <c r="V48" s="31">
        <f t="shared" si="31"/>
        <v>4.7098922459041388</v>
      </c>
      <c r="W48" s="40"/>
      <c r="X48" s="17">
        <f t="shared" si="6"/>
        <v>12.528706671541668</v>
      </c>
      <c r="Y48" s="17">
        <f t="shared" si="32"/>
        <v>12.516184227135867</v>
      </c>
      <c r="Z48" s="31">
        <f t="shared" si="7"/>
        <v>29.23325306714797</v>
      </c>
      <c r="AA48" s="31">
        <f t="shared" si="33"/>
        <v>28.204534259211435</v>
      </c>
      <c r="AB48" s="31">
        <f t="shared" si="8"/>
        <v>0.77853344948711711</v>
      </c>
      <c r="AC48" s="40"/>
      <c r="AD48" s="79">
        <f t="shared" si="34"/>
        <v>888888.88888888888</v>
      </c>
      <c r="AE48" s="79">
        <f t="shared" si="9"/>
        <v>480000</v>
      </c>
      <c r="AF48" s="31">
        <f t="shared" si="10"/>
        <v>0.89020919678765709</v>
      </c>
      <c r="AG48" s="68">
        <f t="shared" si="11"/>
        <v>2.006097815536693E-3</v>
      </c>
      <c r="AH48" s="68">
        <f t="shared" si="35"/>
        <v>2.0710953847600817E-3</v>
      </c>
      <c r="AI48" s="31">
        <f t="shared" si="36"/>
        <v>-29.557945270562549</v>
      </c>
      <c r="AJ48" s="31">
        <f t="shared" si="37"/>
        <v>1.884377302671103</v>
      </c>
      <c r="AK48" s="31">
        <f t="shared" si="12"/>
        <v>0.95857727646522684</v>
      </c>
      <c r="AL48" s="40"/>
      <c r="AM48" s="79">
        <f t="shared" si="13"/>
        <v>35</v>
      </c>
      <c r="AN48" s="79">
        <f t="shared" si="14"/>
        <v>120000</v>
      </c>
      <c r="AO48" s="17"/>
      <c r="AP48" s="68">
        <f t="shared" si="15"/>
        <v>1.1282103896103894E-2</v>
      </c>
      <c r="AQ48" s="68">
        <f t="shared" si="38"/>
        <v>1.1293385999999999E-2</v>
      </c>
      <c r="AR48" s="31">
        <f t="shared" si="39"/>
        <v>3.9960039960038607</v>
      </c>
      <c r="AS48" s="31">
        <f t="shared" si="40"/>
        <v>4.9999999999998934</v>
      </c>
      <c r="AT48" s="31">
        <f t="shared" si="41"/>
        <v>4.2624045015548035E-14</v>
      </c>
      <c r="AU48" s="40"/>
      <c r="AV48" s="82">
        <f t="shared" si="16"/>
        <v>192.42349377070829</v>
      </c>
      <c r="AW48" s="79">
        <f t="shared" si="17"/>
        <v>8671.1250895438425</v>
      </c>
      <c r="AX48" s="18">
        <f t="shared" si="42"/>
        <v>203.3375796435808</v>
      </c>
      <c r="AY48" s="31">
        <f t="shared" si="43"/>
        <v>10.166878982179041</v>
      </c>
      <c r="AZ48" s="31">
        <f t="shared" si="18"/>
        <v>3.8066436249623081E-2</v>
      </c>
      <c r="BA48" s="40"/>
      <c r="BB48" s="82">
        <f t="shared" si="19"/>
        <v>605.70463161163752</v>
      </c>
      <c r="BC48" s="79">
        <f t="shared" si="20"/>
        <v>6550.7268682428494</v>
      </c>
      <c r="BD48" s="31">
        <f t="shared" si="44"/>
        <v>2.3079023207673535</v>
      </c>
      <c r="BE48" s="17">
        <f t="shared" si="45"/>
        <v>2.7694827849208244E-2</v>
      </c>
      <c r="BF48" s="31">
        <f t="shared" si="21"/>
        <v>0.44339077371850821</v>
      </c>
      <c r="BG48" s="40"/>
      <c r="BH48" s="80">
        <f t="shared" si="22"/>
        <v>5.3909201231684882</v>
      </c>
      <c r="BI48" s="80">
        <f t="shared" si="23"/>
        <v>3.4010129713167281</v>
      </c>
      <c r="BJ48" s="18">
        <f t="shared" si="46"/>
        <v>45376.711062877483</v>
      </c>
      <c r="BK48" s="18">
        <f t="shared" si="47"/>
        <v>31.763697744014227</v>
      </c>
      <c r="BL48" s="31">
        <f t="shared" si="24"/>
        <v>0.95323525567162215</v>
      </c>
      <c r="BN48" s="31"/>
      <c r="BO48" s="31"/>
      <c r="BP48" s="31"/>
      <c r="BQ48" s="31">
        <v>-4.1582898740505859E-14</v>
      </c>
      <c r="BR48" s="31">
        <v>0.87229013740491534</v>
      </c>
      <c r="BS48" s="31">
        <v>0.80750727749916806</v>
      </c>
      <c r="BT48" s="31">
        <v>0.95857727646528734</v>
      </c>
      <c r="BU48" s="31">
        <v>4.2624045015548035E-14</v>
      </c>
      <c r="BV48" s="31">
        <v>3.8066436249623081E-2</v>
      </c>
      <c r="BW48" s="31">
        <v>0.44339077371850821</v>
      </c>
      <c r="BX48" s="31">
        <v>0.95323525567162215</v>
      </c>
      <c r="BY48" s="36"/>
      <c r="BZ48" s="36"/>
      <c r="CA48" s="83"/>
      <c r="CB48" s="83"/>
      <c r="CC48" s="83"/>
      <c r="CD48" s="83"/>
      <c r="CE48" s="83"/>
      <c r="CF48" s="83"/>
      <c r="CG48" s="83"/>
      <c r="CI48" s="31"/>
      <c r="CJ48" s="31"/>
    </row>
    <row r="49" spans="1:88" ht="17" x14ac:dyDescent="0.2">
      <c r="A49" s="102" t="s">
        <v>9</v>
      </c>
      <c r="B49" s="14" t="s">
        <v>43</v>
      </c>
      <c r="C49" s="94">
        <v>2538.8000000000002</v>
      </c>
      <c r="D49" s="101" t="s">
        <v>101</v>
      </c>
      <c r="E49" s="88">
        <v>2539</v>
      </c>
      <c r="F49" s="88">
        <v>3775</v>
      </c>
      <c r="G49" s="79"/>
      <c r="H49" s="36">
        <v>23.999999999999979</v>
      </c>
      <c r="I49" s="79">
        <f t="shared" si="25"/>
        <v>432.01337080748215</v>
      </c>
      <c r="J49" s="79">
        <f t="shared" si="26"/>
        <v>389353.90946502058</v>
      </c>
      <c r="K49" s="80">
        <f t="shared" si="27"/>
        <v>19.286311196762597</v>
      </c>
      <c r="L49" s="68">
        <f t="shared" si="0"/>
        <v>2.1175871723084751E-2</v>
      </c>
      <c r="M49" s="68">
        <f t="shared" si="1"/>
        <v>2.1175871723084751E-2</v>
      </c>
      <c r="N49" s="31">
        <f t="shared" si="2"/>
        <v>-1.6000000000000458</v>
      </c>
      <c r="O49" s="31">
        <f t="shared" si="3"/>
        <v>-1.6000000000000458</v>
      </c>
      <c r="P49" s="31">
        <f t="shared" si="28"/>
        <v>-4.1582898740505859E-14</v>
      </c>
      <c r="Q49" s="40"/>
      <c r="R49" s="81">
        <f t="shared" si="29"/>
        <v>0.21320184723492452</v>
      </c>
      <c r="S49" s="81">
        <f t="shared" si="4"/>
        <v>0.32665343984741146</v>
      </c>
      <c r="T49" s="31">
        <f t="shared" si="5"/>
        <v>0.863502739499869</v>
      </c>
      <c r="U49" s="54">
        <f t="shared" si="30"/>
        <v>2844.4237464094831</v>
      </c>
      <c r="V49" s="31">
        <f t="shared" si="31"/>
        <v>4.8355203688961215</v>
      </c>
      <c r="W49" s="40"/>
      <c r="X49" s="17">
        <f t="shared" si="6"/>
        <v>12.52417939343605</v>
      </c>
      <c r="Y49" s="17">
        <f t="shared" si="32"/>
        <v>12.51166147404547</v>
      </c>
      <c r="Z49" s="31">
        <f t="shared" si="7"/>
        <v>28.861337170771549</v>
      </c>
      <c r="AA49" s="31">
        <f t="shared" si="33"/>
        <v>27.832990092835352</v>
      </c>
      <c r="AB49" s="31">
        <f t="shared" si="8"/>
        <v>0.73191277670153942</v>
      </c>
      <c r="AC49" s="40"/>
      <c r="AD49" s="79">
        <f t="shared" si="34"/>
        <v>888888.88888888888</v>
      </c>
      <c r="AE49" s="79">
        <f t="shared" si="9"/>
        <v>480000</v>
      </c>
      <c r="AF49" s="31">
        <f t="shared" si="10"/>
        <v>0.86337708521405521</v>
      </c>
      <c r="AG49" s="68">
        <f t="shared" si="11"/>
        <v>2.0060671265298654E-3</v>
      </c>
      <c r="AH49" s="68">
        <f t="shared" si="35"/>
        <v>2.0710637014294334E-3</v>
      </c>
      <c r="AI49" s="31">
        <f t="shared" si="36"/>
        <v>-29.572790958849904</v>
      </c>
      <c r="AJ49" s="31">
        <f t="shared" si="37"/>
        <v>1.8690506140834895</v>
      </c>
      <c r="AK49" s="31">
        <f t="shared" si="12"/>
        <v>0.94796469608327605</v>
      </c>
      <c r="AL49" s="40"/>
      <c r="AM49" s="79">
        <f t="shared" si="13"/>
        <v>35</v>
      </c>
      <c r="AN49" s="79">
        <f t="shared" si="14"/>
        <v>120000</v>
      </c>
      <c r="AO49" s="17"/>
      <c r="AP49" s="68">
        <f t="shared" si="15"/>
        <v>1.1282103896103894E-2</v>
      </c>
      <c r="AQ49" s="68">
        <f t="shared" si="38"/>
        <v>1.1293385999999999E-2</v>
      </c>
      <c r="AR49" s="31">
        <f t="shared" si="39"/>
        <v>3.9960039960038607</v>
      </c>
      <c r="AS49" s="31">
        <f t="shared" si="40"/>
        <v>4.9999999999998934</v>
      </c>
      <c r="AT49" s="31">
        <f t="shared" si="41"/>
        <v>4.2624045015548035E-14</v>
      </c>
      <c r="AU49" s="40"/>
      <c r="AV49" s="82">
        <f t="shared" si="16"/>
        <v>196.63369246268687</v>
      </c>
      <c r="AW49" s="79">
        <f t="shared" si="17"/>
        <v>8860.8480739600891</v>
      </c>
      <c r="AX49" s="18">
        <f t="shared" si="42"/>
        <v>207.78657698309283</v>
      </c>
      <c r="AY49" s="31">
        <f t="shared" si="43"/>
        <v>10.389328849154641</v>
      </c>
      <c r="AZ49" s="31">
        <f t="shared" si="18"/>
        <v>1.6106482292198701E-2</v>
      </c>
      <c r="BA49" s="40"/>
      <c r="BB49" s="82">
        <f t="shared" si="19"/>
        <v>506.81662533788921</v>
      </c>
      <c r="BC49" s="79">
        <f t="shared" si="20"/>
        <v>5481.2479740154795</v>
      </c>
      <c r="BD49" s="31">
        <f t="shared" si="44"/>
        <v>1.9311116421687922</v>
      </c>
      <c r="BE49" s="17">
        <f t="shared" si="45"/>
        <v>2.3173339706025513E-2</v>
      </c>
      <c r="BF49" s="31">
        <f t="shared" si="21"/>
        <v>0.35796104791086802</v>
      </c>
      <c r="BG49" s="40"/>
      <c r="BH49" s="80">
        <f t="shared" si="22"/>
        <v>5.5417786177632795</v>
      </c>
      <c r="BI49" s="80">
        <f t="shared" si="23"/>
        <v>3.4961862785125044</v>
      </c>
      <c r="BJ49" s="18">
        <f t="shared" si="46"/>
        <v>46646.52440906097</v>
      </c>
      <c r="BK49" s="18">
        <f t="shared" si="47"/>
        <v>32.652567086342685</v>
      </c>
      <c r="BL49" s="31">
        <f t="shared" si="24"/>
        <v>0.94129648653365205</v>
      </c>
      <c r="BN49" s="31"/>
      <c r="BO49" s="31"/>
      <c r="BP49" s="31"/>
      <c r="BQ49" s="31">
        <v>-4.1582898740505859E-14</v>
      </c>
      <c r="BR49" s="31">
        <v>0.84148315355537295</v>
      </c>
      <c r="BS49" s="31">
        <v>0.7653520115796244</v>
      </c>
      <c r="BT49" s="31">
        <v>0.94796469608325284</v>
      </c>
      <c r="BU49" s="31">
        <v>4.2624045015548035E-14</v>
      </c>
      <c r="BV49" s="31">
        <v>1.6106482292198701E-2</v>
      </c>
      <c r="BW49" s="31">
        <v>0.35796104791086802</v>
      </c>
      <c r="BX49" s="31">
        <v>0.94129648653365205</v>
      </c>
      <c r="BY49" s="36"/>
      <c r="BZ49" s="36"/>
      <c r="CA49" s="83"/>
      <c r="CB49" s="83"/>
      <c r="CC49" s="83"/>
      <c r="CD49" s="83"/>
      <c r="CE49" s="83"/>
      <c r="CF49" s="83"/>
      <c r="CG49" s="83"/>
      <c r="CI49" s="31"/>
      <c r="CJ49" s="31"/>
    </row>
    <row r="50" spans="1:88" ht="17" x14ac:dyDescent="0.2">
      <c r="A50" s="102" t="s">
        <v>10</v>
      </c>
      <c r="B50" s="14" t="s">
        <v>43</v>
      </c>
      <c r="C50" s="94">
        <v>7.5</v>
      </c>
      <c r="D50" s="101" t="s">
        <v>102</v>
      </c>
      <c r="E50" s="94">
        <v>5.0999999999999996</v>
      </c>
      <c r="F50" s="94">
        <v>7.5</v>
      </c>
      <c r="G50" s="79"/>
      <c r="H50" s="36">
        <v>32.3333333333333</v>
      </c>
      <c r="I50" s="79">
        <f t="shared" si="25"/>
        <v>432.01337080748215</v>
      </c>
      <c r="J50" s="79">
        <f t="shared" si="26"/>
        <v>389353.90946502058</v>
      </c>
      <c r="K50" s="80">
        <f t="shared" si="27"/>
        <v>19.286311196762597</v>
      </c>
      <c r="L50" s="68">
        <f t="shared" si="0"/>
        <v>2.1175871723084751E-2</v>
      </c>
      <c r="M50" s="68">
        <f t="shared" si="1"/>
        <v>2.1175871723084751E-2</v>
      </c>
      <c r="N50" s="31">
        <f t="shared" si="2"/>
        <v>-1.6000000000000458</v>
      </c>
      <c r="O50" s="31">
        <f t="shared" si="3"/>
        <v>-1.6000000000000458</v>
      </c>
      <c r="P50" s="31">
        <f t="shared" si="28"/>
        <v>-4.1582898740505859E-14</v>
      </c>
      <c r="Q50" s="40"/>
      <c r="R50" s="81">
        <f t="shared" si="29"/>
        <v>0.22206542208187838</v>
      </c>
      <c r="S50" s="81">
        <f t="shared" si="4"/>
        <v>0.34023360930022184</v>
      </c>
      <c r="T50" s="31">
        <f t="shared" si="5"/>
        <v>0.82060293670436957</v>
      </c>
      <c r="U50" s="54">
        <f t="shared" si="30"/>
        <v>2962.6767686029202</v>
      </c>
      <c r="V50" s="31">
        <f t="shared" si="31"/>
        <v>5.0365505066249643</v>
      </c>
      <c r="W50" s="40"/>
      <c r="X50" s="17">
        <f t="shared" si="6"/>
        <v>12.517431203797763</v>
      </c>
      <c r="Y50" s="17">
        <f t="shared" si="32"/>
        <v>12.50492002922385</v>
      </c>
      <c r="Z50" s="31">
        <f t="shared" si="7"/>
        <v>28.30697339198629</v>
      </c>
      <c r="AA50" s="31">
        <f t="shared" si="33"/>
        <v>27.279180400739289</v>
      </c>
      <c r="AB50" s="31">
        <f t="shared" si="8"/>
        <v>0.66242176384963758</v>
      </c>
      <c r="AC50" s="40"/>
      <c r="AD50" s="79">
        <f t="shared" si="34"/>
        <v>888888.88888888888</v>
      </c>
      <c r="AE50" s="79">
        <f t="shared" si="9"/>
        <v>480000</v>
      </c>
      <c r="AF50" s="31">
        <f t="shared" si="10"/>
        <v>0.82044206675733555</v>
      </c>
      <c r="AG50" s="68">
        <f t="shared" si="11"/>
        <v>2.0060167313558199E-3</v>
      </c>
      <c r="AH50" s="68">
        <f t="shared" si="35"/>
        <v>2.0710116734517486E-3</v>
      </c>
      <c r="AI50" s="31">
        <f t="shared" si="36"/>
        <v>-29.597169429266714</v>
      </c>
      <c r="AJ50" s="31">
        <f t="shared" si="37"/>
        <v>1.8438822812252287</v>
      </c>
      <c r="AK50" s="31">
        <f t="shared" si="12"/>
        <v>0.93053751642792326</v>
      </c>
      <c r="AL50" s="40"/>
      <c r="AM50" s="79">
        <f t="shared" si="13"/>
        <v>35</v>
      </c>
      <c r="AN50" s="79">
        <f t="shared" si="14"/>
        <v>120000</v>
      </c>
      <c r="AO50" s="17"/>
      <c r="AP50" s="68">
        <f t="shared" si="15"/>
        <v>1.1282103896103894E-2</v>
      </c>
      <c r="AQ50" s="68">
        <f t="shared" si="38"/>
        <v>1.1293385999999999E-2</v>
      </c>
      <c r="AR50" s="31">
        <f t="shared" si="39"/>
        <v>3.9960039960038607</v>
      </c>
      <c r="AS50" s="31">
        <f t="shared" si="40"/>
        <v>4.9999999999998934</v>
      </c>
      <c r="AT50" s="31">
        <f t="shared" si="41"/>
        <v>4.2624045015548035E-14</v>
      </c>
      <c r="AU50" s="40"/>
      <c r="AV50" s="82">
        <f t="shared" si="16"/>
        <v>198.98527273294968</v>
      </c>
      <c r="AW50" s="79">
        <f t="shared" si="17"/>
        <v>8966.8166658506925</v>
      </c>
      <c r="AX50" s="18">
        <f t="shared" si="42"/>
        <v>210.27153675137671</v>
      </c>
      <c r="AY50" s="31">
        <f t="shared" si="43"/>
        <v>10.513576837568838</v>
      </c>
      <c r="AZ50" s="31">
        <f t="shared" si="18"/>
        <v>3.8408867134087686E-3</v>
      </c>
      <c r="BA50" s="40"/>
      <c r="BB50" s="82">
        <f t="shared" si="19"/>
        <v>382.49995382450544</v>
      </c>
      <c r="BC50" s="79">
        <f t="shared" si="20"/>
        <v>4136.7567521365727</v>
      </c>
      <c r="BD50" s="31">
        <f t="shared" si="44"/>
        <v>1.4574307097109884</v>
      </c>
      <c r="BE50" s="17">
        <f t="shared" si="45"/>
        <v>1.7489168516531858E-2</v>
      </c>
      <c r="BF50" s="31">
        <f t="shared" si="21"/>
        <v>0.2505634012103477</v>
      </c>
      <c r="BG50" s="40"/>
      <c r="BH50" s="80">
        <f t="shared" si="22"/>
        <v>5.7890224222011994</v>
      </c>
      <c r="BI50" s="80">
        <f t="shared" si="23"/>
        <v>3.6521669583888805</v>
      </c>
      <c r="BJ50" s="18">
        <f t="shared" si="46"/>
        <v>48727.636801702414</v>
      </c>
      <c r="BK50" s="18">
        <f t="shared" si="47"/>
        <v>34.109345761191683</v>
      </c>
      <c r="BL50" s="31">
        <f t="shared" si="24"/>
        <v>0.92172989394696159</v>
      </c>
      <c r="BN50" s="31"/>
      <c r="BO50" s="31"/>
      <c r="BP50" s="31"/>
      <c r="BQ50" s="31">
        <v>-4.1582898740505859E-14</v>
      </c>
      <c r="BR50" s="31">
        <v>0.79253697339269746</v>
      </c>
      <c r="BS50" s="31">
        <v>0.70139347607875013</v>
      </c>
      <c r="BT50" s="31">
        <v>0.9305375164277605</v>
      </c>
      <c r="BU50" s="31">
        <v>4.2624045015548035E-14</v>
      </c>
      <c r="BV50" s="31">
        <v>3.8408867134087686E-3</v>
      </c>
      <c r="BW50" s="31">
        <v>0.2505634012103477</v>
      </c>
      <c r="BX50" s="31">
        <v>0.92172989394696159</v>
      </c>
      <c r="BY50" s="36"/>
      <c r="BZ50" s="36"/>
      <c r="CA50" s="83"/>
      <c r="CB50" s="83"/>
      <c r="CC50" s="83"/>
      <c r="CD50" s="83"/>
      <c r="CE50" s="83"/>
      <c r="CF50" s="83"/>
      <c r="CG50" s="83"/>
      <c r="CI50" s="31"/>
      <c r="CJ50" s="31"/>
    </row>
    <row r="51" spans="1:88" x14ac:dyDescent="0.2">
      <c r="A51" s="87" t="s">
        <v>103</v>
      </c>
      <c r="B51" s="14" t="s">
        <v>99</v>
      </c>
      <c r="C51" s="93">
        <v>31</v>
      </c>
      <c r="D51" s="101" t="s">
        <v>101</v>
      </c>
      <c r="E51" s="88">
        <v>31</v>
      </c>
      <c r="F51" s="88">
        <f>Z6</f>
        <v>23</v>
      </c>
      <c r="G51" s="79"/>
      <c r="H51" s="36">
        <v>48.999999999999957</v>
      </c>
      <c r="I51" s="79">
        <f t="shared" si="25"/>
        <v>432.01337080748215</v>
      </c>
      <c r="J51" s="79">
        <f t="shared" si="26"/>
        <v>389353.90946502058</v>
      </c>
      <c r="K51" s="80">
        <f t="shared" si="27"/>
        <v>19.286311196762597</v>
      </c>
      <c r="L51" s="68">
        <f t="shared" si="0"/>
        <v>2.1175871723084751E-2</v>
      </c>
      <c r="M51" s="68">
        <f t="shared" si="1"/>
        <v>2.1175871723084751E-2</v>
      </c>
      <c r="N51" s="31">
        <f t="shared" si="2"/>
        <v>-1.6000000000000458</v>
      </c>
      <c r="O51" s="31">
        <f t="shared" si="3"/>
        <v>-1.6000000000000458</v>
      </c>
      <c r="P51" s="31">
        <f t="shared" si="28"/>
        <v>-4.1582898740505859E-14</v>
      </c>
      <c r="Q51" s="40"/>
      <c r="R51" s="81">
        <f t="shared" si="29"/>
        <v>0.23849339141291442</v>
      </c>
      <c r="S51" s="81">
        <f t="shared" si="4"/>
        <v>0.36540343198837932</v>
      </c>
      <c r="T51" s="31">
        <f t="shared" si="5"/>
        <v>0.74109137880579057</v>
      </c>
      <c r="U51" s="54">
        <f t="shared" si="30"/>
        <v>3181.8498511841253</v>
      </c>
      <c r="V51" s="31">
        <f t="shared" si="31"/>
        <v>5.4091447470130136</v>
      </c>
      <c r="W51" s="40"/>
      <c r="X51" s="17">
        <f t="shared" si="6"/>
        <v>12.506331811788538</v>
      </c>
      <c r="Y51" s="17">
        <f t="shared" si="32"/>
        <v>12.493831731058789</v>
      </c>
      <c r="Z51" s="31">
        <f t="shared" si="7"/>
        <v>27.395158338428427</v>
      </c>
      <c r="AA51" s="31">
        <f t="shared" si="33"/>
        <v>26.368276706479456</v>
      </c>
      <c r="AB51" s="31">
        <f t="shared" si="8"/>
        <v>0.54812325801258877</v>
      </c>
      <c r="AC51" s="40"/>
      <c r="AD51" s="79">
        <f t="shared" si="34"/>
        <v>888888.88888888888</v>
      </c>
      <c r="AE51" s="79">
        <f t="shared" si="9"/>
        <v>480000</v>
      </c>
      <c r="AF51" s="31">
        <f t="shared" si="10"/>
        <v>0.74087121938732992</v>
      </c>
      <c r="AG51" s="68">
        <f t="shared" si="11"/>
        <v>2.0059187033382082E-3</v>
      </c>
      <c r="AH51" s="68">
        <f t="shared" si="35"/>
        <v>2.0709104693263664E-3</v>
      </c>
      <c r="AI51" s="31">
        <f t="shared" si="36"/>
        <v>-29.64459010342091</v>
      </c>
      <c r="AJ51" s="31">
        <f t="shared" si="37"/>
        <v>1.7949251772284569</v>
      </c>
      <c r="AK51" s="31">
        <f t="shared" si="12"/>
        <v>0.89663839996429573</v>
      </c>
      <c r="AL51" s="40"/>
      <c r="AM51" s="79">
        <f t="shared" si="13"/>
        <v>35</v>
      </c>
      <c r="AN51" s="79">
        <f t="shared" si="14"/>
        <v>120000</v>
      </c>
      <c r="AO51" s="17"/>
      <c r="AP51" s="68">
        <f t="shared" si="15"/>
        <v>1.1282103896103894E-2</v>
      </c>
      <c r="AQ51" s="68">
        <f t="shared" si="38"/>
        <v>1.1293385999999999E-2</v>
      </c>
      <c r="AR51" s="31">
        <f t="shared" si="39"/>
        <v>3.9960039960038607</v>
      </c>
      <c r="AS51" s="31">
        <f t="shared" si="40"/>
        <v>4.9999999999998934</v>
      </c>
      <c r="AT51" s="31">
        <f t="shared" si="41"/>
        <v>4.2624045015548035E-14</v>
      </c>
      <c r="AU51" s="40"/>
      <c r="AV51" s="82">
        <f t="shared" si="16"/>
        <v>199.67977797567124</v>
      </c>
      <c r="AW51" s="79">
        <f t="shared" si="17"/>
        <v>8998.1129577793617</v>
      </c>
      <c r="AX51" s="18">
        <f t="shared" si="42"/>
        <v>211.00543370095119</v>
      </c>
      <c r="AY51" s="31">
        <f t="shared" si="43"/>
        <v>10.550271685047559</v>
      </c>
      <c r="AZ51" s="31">
        <f t="shared" si="18"/>
        <v>2.184203480059912E-4</v>
      </c>
      <c r="BA51" s="40"/>
      <c r="BB51" s="82">
        <f t="shared" si="19"/>
        <v>234.57089312024965</v>
      </c>
      <c r="BC51" s="79">
        <f t="shared" si="20"/>
        <v>2536.8963218623308</v>
      </c>
      <c r="BD51" s="31">
        <f t="shared" si="44"/>
        <v>0.89378003793077421</v>
      </c>
      <c r="BE51" s="17">
        <f t="shared" si="45"/>
        <v>1.0725360455169293E-2</v>
      </c>
      <c r="BF51" s="31">
        <f t="shared" si="21"/>
        <v>0.12276692142328167</v>
      </c>
      <c r="BG51" s="40"/>
      <c r="BH51" s="80">
        <f t="shared" si="22"/>
        <v>6.2681986009109814</v>
      </c>
      <c r="BI51" s="80">
        <f t="shared" si="23"/>
        <v>3.9544686735142962</v>
      </c>
      <c r="BJ51" s="18">
        <f t="shared" si="46"/>
        <v>52760.981483639174</v>
      </c>
      <c r="BK51" s="18">
        <f t="shared" si="47"/>
        <v>36.932687038547414</v>
      </c>
      <c r="BL51" s="31">
        <f t="shared" si="24"/>
        <v>0.88380843788711649</v>
      </c>
      <c r="BN51" s="31"/>
      <c r="BO51" s="31"/>
      <c r="BP51" s="31"/>
      <c r="BQ51" s="31">
        <v>-4.1582898740505859E-14</v>
      </c>
      <c r="BR51" s="31">
        <v>0.70302010381803548</v>
      </c>
      <c r="BS51" s="31">
        <v>0.59312434911740552</v>
      </c>
      <c r="BT51" s="31">
        <v>0.89663839996412309</v>
      </c>
      <c r="BU51" s="31">
        <v>4.2624045015548035E-14</v>
      </c>
      <c r="BV51" s="31">
        <v>2.184203480059912E-4</v>
      </c>
      <c r="BW51" s="31">
        <v>0.12276692142328167</v>
      </c>
      <c r="BX51" s="31">
        <v>0.88380843788711649</v>
      </c>
      <c r="BY51" s="36"/>
      <c r="BZ51" s="36"/>
      <c r="CA51" s="83"/>
      <c r="CB51" s="83"/>
      <c r="CC51" s="83"/>
      <c r="CD51" s="83"/>
      <c r="CE51" s="83"/>
      <c r="CF51" s="83"/>
      <c r="CG51" s="83"/>
      <c r="CI51" s="31"/>
      <c r="CJ51" s="31"/>
    </row>
    <row r="52" spans="1:88" ht="17" x14ac:dyDescent="0.2">
      <c r="A52" s="103" t="s">
        <v>104</v>
      </c>
      <c r="B52" s="96" t="s">
        <v>99</v>
      </c>
      <c r="C52" s="99">
        <f>AA4</f>
        <v>22</v>
      </c>
      <c r="D52" s="104" t="s">
        <v>102</v>
      </c>
      <c r="E52" s="105">
        <v>27.91</v>
      </c>
      <c r="F52" s="99">
        <f>AA6</f>
        <v>22</v>
      </c>
      <c r="G52" s="79"/>
      <c r="H52" s="36">
        <v>54.555555555555507</v>
      </c>
      <c r="I52" s="79">
        <f t="shared" si="25"/>
        <v>432.01337080748215</v>
      </c>
      <c r="J52" s="79">
        <f t="shared" si="26"/>
        <v>389353.90946502058</v>
      </c>
      <c r="K52" s="80">
        <f t="shared" si="27"/>
        <v>19.286311196762597</v>
      </c>
      <c r="L52" s="68">
        <f t="shared" si="0"/>
        <v>2.1175871723084751E-2</v>
      </c>
      <c r="M52" s="68">
        <f t="shared" si="1"/>
        <v>2.1175871723084751E-2</v>
      </c>
      <c r="N52" s="31">
        <f t="shared" si="2"/>
        <v>-1.6000000000000458</v>
      </c>
      <c r="O52" s="31">
        <f t="shared" si="3"/>
        <v>-1.6000000000000458</v>
      </c>
      <c r="P52" s="31">
        <f t="shared" si="28"/>
        <v>-4.1582898740505859E-14</v>
      </c>
      <c r="Q52" s="40"/>
      <c r="R52" s="81">
        <f t="shared" si="29"/>
        <v>0.24360771304707943</v>
      </c>
      <c r="S52" s="81">
        <f t="shared" si="4"/>
        <v>0.37323924943533238</v>
      </c>
      <c r="T52" s="31">
        <f t="shared" si="5"/>
        <v>0.71633800408657788</v>
      </c>
      <c r="U52" s="54">
        <f t="shared" si="30"/>
        <v>3250.0823646058561</v>
      </c>
      <c r="V52" s="31">
        <f t="shared" si="31"/>
        <v>5.525140019829955</v>
      </c>
      <c r="W52" s="40"/>
      <c r="X52" s="17">
        <f t="shared" si="6"/>
        <v>12.503203616800191</v>
      </c>
      <c r="Y52" s="17">
        <f t="shared" si="32"/>
        <v>12.490706662701852</v>
      </c>
      <c r="Z52" s="31">
        <f t="shared" si="7"/>
        <v>27.138177120135552</v>
      </c>
      <c r="AA52" s="31">
        <f t="shared" si="33"/>
        <v>26.111552340957189</v>
      </c>
      <c r="AB52" s="31">
        <f t="shared" si="8"/>
        <v>0.51590996084837615</v>
      </c>
      <c r="AC52" s="40"/>
      <c r="AD52" s="79">
        <f t="shared" si="34"/>
        <v>888888.88888888888</v>
      </c>
      <c r="AE52" s="79">
        <f t="shared" si="9"/>
        <v>480000</v>
      </c>
      <c r="AF52" s="31">
        <f t="shared" si="10"/>
        <v>0.71610107461336669</v>
      </c>
      <c r="AG52" s="68">
        <f t="shared" si="11"/>
        <v>2.0058868274389274E-3</v>
      </c>
      <c r="AH52" s="68">
        <f t="shared" si="35"/>
        <v>2.0708775606479487E-3</v>
      </c>
      <c r="AI52" s="31">
        <f t="shared" si="36"/>
        <v>-29.660009946339329</v>
      </c>
      <c r="AJ52" s="31">
        <f t="shared" si="37"/>
        <v>1.7790057313993302</v>
      </c>
      <c r="AK52" s="31">
        <f t="shared" si="12"/>
        <v>0.88561537972532156</v>
      </c>
      <c r="AL52" s="40"/>
      <c r="AM52" s="79">
        <f t="shared" si="13"/>
        <v>35</v>
      </c>
      <c r="AN52" s="79">
        <f t="shared" si="14"/>
        <v>120000</v>
      </c>
      <c r="AO52" s="17"/>
      <c r="AP52" s="68">
        <f t="shared" si="15"/>
        <v>1.1282103896103894E-2</v>
      </c>
      <c r="AQ52" s="68">
        <f t="shared" si="38"/>
        <v>1.1293385999999999E-2</v>
      </c>
      <c r="AR52" s="31">
        <f t="shared" si="39"/>
        <v>3.9960039960038607</v>
      </c>
      <c r="AS52" s="31">
        <f t="shared" si="40"/>
        <v>4.9999999999998934</v>
      </c>
      <c r="AT52" s="31">
        <f t="shared" si="41"/>
        <v>4.2624045015548035E-14</v>
      </c>
      <c r="AU52" s="40"/>
      <c r="AV52" s="82">
        <f t="shared" si="16"/>
        <v>199.70555046577297</v>
      </c>
      <c r="AW52" s="79">
        <f t="shared" si="17"/>
        <v>8999.274336159735</v>
      </c>
      <c r="AX52" s="18">
        <f t="shared" si="42"/>
        <v>211.03266798329363</v>
      </c>
      <c r="AY52" s="31">
        <f t="shared" si="43"/>
        <v>10.551633399164681</v>
      </c>
      <c r="AZ52" s="31">
        <f t="shared" si="18"/>
        <v>8.3993747883630046E-5</v>
      </c>
      <c r="BA52" s="40"/>
      <c r="BB52" s="82">
        <f t="shared" si="19"/>
        <v>204.49447186260667</v>
      </c>
      <c r="BC52" s="79">
        <f t="shared" si="20"/>
        <v>2211.6182728753156</v>
      </c>
      <c r="BD52" s="31">
        <f t="shared" si="44"/>
        <v>0.77918054702677042</v>
      </c>
      <c r="BE52" s="17">
        <f t="shared" si="45"/>
        <v>9.3501665643212478E-3</v>
      </c>
      <c r="BF52" s="31">
        <f t="shared" si="21"/>
        <v>9.6783786378545497E-2</v>
      </c>
      <c r="BG52" s="40"/>
      <c r="BH52" s="80">
        <f t="shared" si="22"/>
        <v>6.423502331925576</v>
      </c>
      <c r="BI52" s="80">
        <f t="shared" si="23"/>
        <v>4.0524463826264254</v>
      </c>
      <c r="BJ52" s="18">
        <f t="shared" si="46"/>
        <v>54068.211486723361</v>
      </c>
      <c r="BK52" s="18">
        <f t="shared" si="47"/>
        <v>37.847748040706357</v>
      </c>
      <c r="BL52" s="31">
        <f t="shared" si="24"/>
        <v>0.8715178778107423</v>
      </c>
      <c r="BN52" s="31"/>
      <c r="BO52" s="31"/>
      <c r="BP52" s="31"/>
      <c r="BQ52" s="31">
        <v>-4.1582898740505859E-14</v>
      </c>
      <c r="BR52" s="31">
        <v>0.67548723842654723</v>
      </c>
      <c r="BS52" s="31">
        <v>0.5618857351474672</v>
      </c>
      <c r="BT52" s="31">
        <v>0.8856153797253512</v>
      </c>
      <c r="BU52" s="31">
        <v>4.2624045015548035E-14</v>
      </c>
      <c r="BV52" s="31">
        <v>8.3993747883630046E-5</v>
      </c>
      <c r="BW52" s="31">
        <v>9.6783786378545497E-2</v>
      </c>
      <c r="BX52" s="31">
        <v>0.8715178778107423</v>
      </c>
      <c r="BY52" s="36"/>
      <c r="BZ52" s="36"/>
      <c r="CA52" s="83"/>
      <c r="CB52" s="83"/>
      <c r="CC52" s="83"/>
      <c r="CD52" s="83"/>
      <c r="CE52" s="83"/>
      <c r="CF52" s="83"/>
      <c r="CG52" s="83"/>
      <c r="CI52" s="31"/>
      <c r="CJ52" s="31"/>
    </row>
    <row r="53" spans="1:88" ht="17" x14ac:dyDescent="0.2">
      <c r="A53" s="106" t="s">
        <v>15</v>
      </c>
      <c r="B53" s="14" t="s">
        <v>42</v>
      </c>
      <c r="C53" s="88">
        <v>888889</v>
      </c>
      <c r="D53" s="89" t="s">
        <v>97</v>
      </c>
      <c r="E53" s="88">
        <v>888889</v>
      </c>
      <c r="F53" s="88">
        <v>888889</v>
      </c>
      <c r="G53" s="79"/>
      <c r="H53" s="36">
        <v>61.499999999999943</v>
      </c>
      <c r="I53" s="79">
        <f t="shared" si="25"/>
        <v>432.01337080748215</v>
      </c>
      <c r="J53" s="79">
        <f t="shared" si="26"/>
        <v>389353.90946502058</v>
      </c>
      <c r="K53" s="80">
        <f t="shared" si="27"/>
        <v>19.286311196762597</v>
      </c>
      <c r="L53" s="68">
        <f t="shared" si="0"/>
        <v>2.1175871723084751E-2</v>
      </c>
      <c r="M53" s="68">
        <f t="shared" si="1"/>
        <v>2.1175871723084751E-2</v>
      </c>
      <c r="N53" s="31">
        <f t="shared" si="2"/>
        <v>-1.6000000000000458</v>
      </c>
      <c r="O53" s="31">
        <f t="shared" si="3"/>
        <v>-1.6000000000000458</v>
      </c>
      <c r="P53" s="31">
        <f t="shared" si="28"/>
        <v>-4.1582898740505859E-14</v>
      </c>
      <c r="Q53" s="40"/>
      <c r="R53" s="81">
        <f t="shared" si="29"/>
        <v>0.2497610657221597</v>
      </c>
      <c r="S53" s="81">
        <f t="shared" si="4"/>
        <v>0.3826669999167549</v>
      </c>
      <c r="T53" s="31">
        <f t="shared" si="5"/>
        <v>0.68655570734399174</v>
      </c>
      <c r="U53" s="54">
        <f t="shared" si="30"/>
        <v>3332.1770682682713</v>
      </c>
      <c r="V53" s="31">
        <f t="shared" si="31"/>
        <v>5.6647010160560614</v>
      </c>
      <c r="W53" s="40"/>
      <c r="X53" s="17">
        <f t="shared" si="6"/>
        <v>12.499623407952127</v>
      </c>
      <c r="Y53" s="17">
        <f t="shared" si="32"/>
        <v>12.487130032273129</v>
      </c>
      <c r="Z53" s="31">
        <f t="shared" si="7"/>
        <v>26.844062963267135</v>
      </c>
      <c r="AA53" s="31">
        <f t="shared" si="33"/>
        <v>25.817732151237614</v>
      </c>
      <c r="AB53" s="31">
        <f t="shared" si="8"/>
        <v>0.47904194847633313</v>
      </c>
      <c r="AC53" s="40"/>
      <c r="AD53" s="79">
        <f t="shared" si="34"/>
        <v>888888.88888888888</v>
      </c>
      <c r="AE53" s="79">
        <f t="shared" si="9"/>
        <v>480000</v>
      </c>
      <c r="AF53" s="31">
        <f t="shared" si="10"/>
        <v>0.6862997286211272</v>
      </c>
      <c r="AG53" s="68">
        <f t="shared" si="11"/>
        <v>2.0058475330708412E-3</v>
      </c>
      <c r="AH53" s="68">
        <f t="shared" si="35"/>
        <v>2.0708369931423365E-3</v>
      </c>
      <c r="AI53" s="31">
        <f t="shared" si="36"/>
        <v>-29.679018444833005</v>
      </c>
      <c r="AJ53" s="31">
        <f t="shared" si="37"/>
        <v>1.7593813575544903</v>
      </c>
      <c r="AK53" s="31">
        <f t="shared" si="12"/>
        <v>0.87202697517966343</v>
      </c>
      <c r="AL53" s="40"/>
      <c r="AM53" s="79">
        <f t="shared" si="13"/>
        <v>35</v>
      </c>
      <c r="AN53" s="79">
        <f t="shared" si="14"/>
        <v>120000</v>
      </c>
      <c r="AO53" s="17"/>
      <c r="AP53" s="68">
        <f t="shared" si="15"/>
        <v>1.1282103896103894E-2</v>
      </c>
      <c r="AQ53" s="68">
        <f t="shared" si="38"/>
        <v>1.1293385999999999E-2</v>
      </c>
      <c r="AR53" s="31">
        <f t="shared" si="39"/>
        <v>3.9960039960038607</v>
      </c>
      <c r="AS53" s="31">
        <f t="shared" si="40"/>
        <v>4.9999999999998934</v>
      </c>
      <c r="AT53" s="31">
        <f t="shared" si="41"/>
        <v>4.2624045015548035E-14</v>
      </c>
      <c r="AU53" s="40"/>
      <c r="AV53" s="82">
        <f t="shared" si="16"/>
        <v>199.71677736098701</v>
      </c>
      <c r="AW53" s="79">
        <f t="shared" si="17"/>
        <v>8999.7802505408781</v>
      </c>
      <c r="AX53" s="18">
        <f t="shared" si="42"/>
        <v>211.04453165781175</v>
      </c>
      <c r="AY53" s="31">
        <f t="shared" si="43"/>
        <v>10.55222658289059</v>
      </c>
      <c r="AZ53" s="31">
        <f t="shared" si="18"/>
        <v>2.5435442201868919E-5</v>
      </c>
      <c r="BA53" s="40"/>
      <c r="BB53" s="82">
        <f t="shared" si="19"/>
        <v>175.68584794627708</v>
      </c>
      <c r="BC53" s="79">
        <f t="shared" si="20"/>
        <v>1900.0515176010965</v>
      </c>
      <c r="BD53" s="31">
        <f t="shared" si="44"/>
        <v>0.66941171495146767</v>
      </c>
      <c r="BE53" s="17">
        <f t="shared" si="45"/>
        <v>8.0329405794176117E-3</v>
      </c>
      <c r="BF53" s="31">
        <f t="shared" si="21"/>
        <v>7.18959062927194E-2</v>
      </c>
      <c r="BG53" s="40"/>
      <c r="BH53" s="80">
        <f t="shared" si="22"/>
        <v>6.6145984324391645</v>
      </c>
      <c r="BI53" s="80">
        <f t="shared" si="23"/>
        <v>4.1730047106605594</v>
      </c>
      <c r="BJ53" s="18">
        <f t="shared" si="46"/>
        <v>55676.714736656722</v>
      </c>
      <c r="BK53" s="18">
        <f t="shared" si="47"/>
        <v>38.97370031565972</v>
      </c>
      <c r="BL53" s="31">
        <f t="shared" si="24"/>
        <v>0.85639475045005853</v>
      </c>
      <c r="BN53" s="31"/>
      <c r="BO53" s="31"/>
      <c r="BP53" s="31"/>
      <c r="BQ53" s="31">
        <v>-4.1582898740505859E-14</v>
      </c>
      <c r="BR53" s="31">
        <v>0.64258251460849758</v>
      </c>
      <c r="BS53" s="31">
        <v>0.52572386828767204</v>
      </c>
      <c r="BT53" s="31">
        <v>0.87202697517961281</v>
      </c>
      <c r="BU53" s="31">
        <v>4.2624045015548035E-14</v>
      </c>
      <c r="BV53" s="31">
        <v>2.5435442201868919E-5</v>
      </c>
      <c r="BW53" s="31">
        <v>7.18959062927194E-2</v>
      </c>
      <c r="BX53" s="31">
        <v>0.85639475045005853</v>
      </c>
      <c r="BY53" s="36"/>
      <c r="BZ53" s="36"/>
      <c r="CA53" s="83"/>
      <c r="CB53" s="83"/>
      <c r="CC53" s="83"/>
      <c r="CD53" s="83"/>
      <c r="CE53" s="83"/>
      <c r="CF53" s="83"/>
      <c r="CG53" s="83"/>
      <c r="CI53" s="31"/>
      <c r="CJ53" s="31"/>
    </row>
    <row r="54" spans="1:88" ht="17" x14ac:dyDescent="0.2">
      <c r="A54" s="106" t="s">
        <v>16</v>
      </c>
      <c r="B54" s="14" t="s">
        <v>42</v>
      </c>
      <c r="C54" s="93">
        <v>480000</v>
      </c>
      <c r="D54" s="101" t="s">
        <v>97</v>
      </c>
      <c r="E54" s="88">
        <v>480000</v>
      </c>
      <c r="F54" s="88">
        <v>480000</v>
      </c>
      <c r="G54" s="79"/>
      <c r="H54" s="36">
        <v>70.42857142857136</v>
      </c>
      <c r="I54" s="79">
        <f t="shared" si="25"/>
        <v>432.01337080748215</v>
      </c>
      <c r="J54" s="79">
        <f t="shared" si="26"/>
        <v>389353.90946502058</v>
      </c>
      <c r="K54" s="80">
        <f t="shared" si="27"/>
        <v>19.286311196762597</v>
      </c>
      <c r="L54" s="68">
        <f t="shared" si="0"/>
        <v>2.1175871723084751E-2</v>
      </c>
      <c r="M54" s="68">
        <f t="shared" si="1"/>
        <v>2.1175871723084751E-2</v>
      </c>
      <c r="N54" s="31">
        <f t="shared" si="2"/>
        <v>-1.6000000000000458</v>
      </c>
      <c r="O54" s="31">
        <f t="shared" si="3"/>
        <v>-1.6000000000000458</v>
      </c>
      <c r="P54" s="31">
        <f t="shared" si="28"/>
        <v>-4.1582898740505859E-14</v>
      </c>
      <c r="Q54" s="40"/>
      <c r="R54" s="81">
        <f t="shared" si="29"/>
        <v>0.2572981049118479</v>
      </c>
      <c r="S54" s="81">
        <f t="shared" si="4"/>
        <v>0.3942147412215643</v>
      </c>
      <c r="T54" s="31">
        <f t="shared" si="5"/>
        <v>0.65007635217605997</v>
      </c>
      <c r="U54" s="54">
        <f t="shared" si="30"/>
        <v>3432.7321691119569</v>
      </c>
      <c r="V54" s="31">
        <f t="shared" si="31"/>
        <v>5.8356446874903272</v>
      </c>
      <c r="W54" s="40"/>
      <c r="X54" s="17">
        <f t="shared" si="6"/>
        <v>12.495491800219332</v>
      </c>
      <c r="Y54" s="17">
        <f t="shared" si="32"/>
        <v>12.483002554082951</v>
      </c>
      <c r="Z54" s="31">
        <f t="shared" si="7"/>
        <v>26.504651388018054</v>
      </c>
      <c r="AA54" s="31">
        <f t="shared" si="33"/>
        <v>25.478659817914419</v>
      </c>
      <c r="AB54" s="31">
        <f t="shared" si="8"/>
        <v>0.43649578106727005</v>
      </c>
      <c r="AC54" s="40"/>
      <c r="AD54" s="79">
        <f t="shared" si="34"/>
        <v>888888.88888888888</v>
      </c>
      <c r="AE54" s="79">
        <f t="shared" si="9"/>
        <v>480000</v>
      </c>
      <c r="AF54" s="31">
        <f t="shared" si="10"/>
        <v>0.64979879372057314</v>
      </c>
      <c r="AG54" s="68">
        <f t="shared" si="11"/>
        <v>2.0057978963532092E-3</v>
      </c>
      <c r="AH54" s="68">
        <f t="shared" si="35"/>
        <v>2.0707857481950536E-3</v>
      </c>
      <c r="AI54" s="31">
        <f t="shared" si="36"/>
        <v>-29.703030014894939</v>
      </c>
      <c r="AJ54" s="31">
        <f t="shared" si="37"/>
        <v>1.7345918126225879</v>
      </c>
      <c r="AK54" s="31">
        <f t="shared" si="12"/>
        <v>0.85486207770569711</v>
      </c>
      <c r="AL54" s="40"/>
      <c r="AM54" s="79">
        <f t="shared" si="13"/>
        <v>35</v>
      </c>
      <c r="AN54" s="79">
        <f t="shared" si="14"/>
        <v>120000</v>
      </c>
      <c r="AO54" s="17"/>
      <c r="AP54" s="68">
        <f t="shared" si="15"/>
        <v>1.1282103896103894E-2</v>
      </c>
      <c r="AQ54" s="68">
        <f t="shared" si="38"/>
        <v>1.1293385999999999E-2</v>
      </c>
      <c r="AR54" s="31">
        <f t="shared" si="39"/>
        <v>3.9960039960038607</v>
      </c>
      <c r="AS54" s="31">
        <f t="shared" si="40"/>
        <v>4.9999999999998934</v>
      </c>
      <c r="AT54" s="31">
        <f t="shared" si="41"/>
        <v>4.2624045015548035E-14</v>
      </c>
      <c r="AU54" s="40"/>
      <c r="AV54" s="82">
        <f t="shared" si="16"/>
        <v>199.72060416952087</v>
      </c>
      <c r="AW54" s="79">
        <f t="shared" si="17"/>
        <v>8999.9526969238032</v>
      </c>
      <c r="AX54" s="18">
        <f t="shared" si="42"/>
        <v>211.04857551945142</v>
      </c>
      <c r="AY54" s="31">
        <f t="shared" si="43"/>
        <v>10.552428775972572</v>
      </c>
      <c r="AZ54" s="31">
        <f t="shared" si="18"/>
        <v>5.4752110216024824E-6</v>
      </c>
      <c r="BA54" s="40"/>
      <c r="BB54" s="82">
        <f t="shared" si="19"/>
        <v>149.25153006054524</v>
      </c>
      <c r="BC54" s="79">
        <f t="shared" si="20"/>
        <v>1614.1630046521577</v>
      </c>
      <c r="BD54" s="31">
        <f t="shared" si="44"/>
        <v>0.56868964612056738</v>
      </c>
      <c r="BE54" s="17">
        <f t="shared" si="45"/>
        <v>6.8242757534468096E-3</v>
      </c>
      <c r="BF54" s="31">
        <f t="shared" si="21"/>
        <v>4.905919824302369E-2</v>
      </c>
      <c r="BG54" s="40"/>
      <c r="BH54" s="80">
        <f t="shared" si="22"/>
        <v>6.855428977289284</v>
      </c>
      <c r="BI54" s="80">
        <f t="shared" si="23"/>
        <v>4.3249394060763624</v>
      </c>
      <c r="BJ54" s="18">
        <f t="shared" si="46"/>
        <v>57703.845133527881</v>
      </c>
      <c r="BK54" s="18">
        <f t="shared" si="47"/>
        <v>40.392691593469515</v>
      </c>
      <c r="BL54" s="31">
        <f t="shared" si="24"/>
        <v>0.83733569590984191</v>
      </c>
      <c r="BN54" s="31"/>
      <c r="BO54" s="31"/>
      <c r="BP54" s="31"/>
      <c r="BQ54" s="31">
        <v>-4.1582898740505859E-14</v>
      </c>
      <c r="BR54" s="31">
        <v>0.60262066104340439</v>
      </c>
      <c r="BS54" s="31">
        <v>0.48343231665654679</v>
      </c>
      <c r="BT54" s="31">
        <v>0.85486207770574307</v>
      </c>
      <c r="BU54" s="31">
        <v>4.2624045015548035E-14</v>
      </c>
      <c r="BV54" s="31">
        <v>5.4752110216024824E-6</v>
      </c>
      <c r="BW54" s="31">
        <v>4.905919824302369E-2</v>
      </c>
      <c r="BX54" s="31">
        <v>0.83733569590984191</v>
      </c>
      <c r="BY54" s="36"/>
      <c r="BZ54" s="36"/>
      <c r="CA54" s="83"/>
      <c r="CB54" s="83"/>
      <c r="CC54" s="83"/>
      <c r="CD54" s="83"/>
      <c r="CE54" s="83"/>
      <c r="CF54" s="83"/>
      <c r="CG54" s="83"/>
      <c r="CI54" s="31"/>
      <c r="CJ54" s="31"/>
    </row>
    <row r="55" spans="1:88" ht="17" x14ac:dyDescent="0.2">
      <c r="A55" s="102" t="s">
        <v>105</v>
      </c>
      <c r="B55" s="14" t="s">
        <v>99</v>
      </c>
      <c r="C55" s="93">
        <v>-29</v>
      </c>
      <c r="D55" s="101" t="s">
        <v>106</v>
      </c>
      <c r="E55" s="88">
        <v>-29</v>
      </c>
      <c r="F55" s="94">
        <v>-30.9</v>
      </c>
      <c r="G55" s="79"/>
      <c r="H55" s="36">
        <v>82.333333333333258</v>
      </c>
      <c r="I55" s="79">
        <f t="shared" si="25"/>
        <v>432.01337080748215</v>
      </c>
      <c r="J55" s="79">
        <f t="shared" si="26"/>
        <v>389353.90946502058</v>
      </c>
      <c r="K55" s="80">
        <f t="shared" si="27"/>
        <v>19.286311196762597</v>
      </c>
      <c r="L55" s="68">
        <f t="shared" si="0"/>
        <v>2.1175871723084751E-2</v>
      </c>
      <c r="M55" s="68">
        <f t="shared" si="1"/>
        <v>2.1175871723084751E-2</v>
      </c>
      <c r="N55" s="31">
        <f t="shared" si="2"/>
        <v>-1.6000000000000458</v>
      </c>
      <c r="O55" s="31">
        <f t="shared" si="3"/>
        <v>-1.6000000000000458</v>
      </c>
      <c r="P55" s="31">
        <f t="shared" si="28"/>
        <v>-4.1582898740505859E-14</v>
      </c>
      <c r="Q55" s="40"/>
      <c r="R55" s="81">
        <f t="shared" si="29"/>
        <v>0.26672824501781278</v>
      </c>
      <c r="S55" s="81">
        <f t="shared" si="4"/>
        <v>0.40866296361647741</v>
      </c>
      <c r="T55" s="31">
        <f t="shared" si="5"/>
        <v>0.60443436710060705</v>
      </c>
      <c r="U55" s="54">
        <f t="shared" si="30"/>
        <v>3558.5439985930529</v>
      </c>
      <c r="V55" s="31">
        <f t="shared" si="31"/>
        <v>6.0495247976081901</v>
      </c>
      <c r="W55" s="40"/>
      <c r="X55" s="17">
        <f t="shared" si="6"/>
        <v>12.490682852886549</v>
      </c>
      <c r="Y55" s="17">
        <f t="shared" si="32"/>
        <v>12.478198413293828</v>
      </c>
      <c r="Z55" s="31">
        <f t="shared" si="7"/>
        <v>26.109596364630061</v>
      </c>
      <c r="AA55" s="31">
        <f t="shared" si="33"/>
        <v>25.083999652087961</v>
      </c>
      <c r="AB55" s="31">
        <f t="shared" si="8"/>
        <v>0.38697455555065008</v>
      </c>
      <c r="AC55" s="40"/>
      <c r="AD55" s="79">
        <f t="shared" si="34"/>
        <v>888888.88888888888</v>
      </c>
      <c r="AE55" s="79">
        <f t="shared" si="9"/>
        <v>480000</v>
      </c>
      <c r="AF55" s="31">
        <f t="shared" si="10"/>
        <v>0.60413268441247692</v>
      </c>
      <c r="AG55" s="68">
        <f t="shared" si="11"/>
        <v>2.0057332305750144E-3</v>
      </c>
      <c r="AH55" s="68">
        <f t="shared" si="35"/>
        <v>2.0707189872456451E-3</v>
      </c>
      <c r="AI55" s="31">
        <f t="shared" si="36"/>
        <v>-29.734311834842096</v>
      </c>
      <c r="AJ55" s="31">
        <f t="shared" si="37"/>
        <v>1.7022964617090519</v>
      </c>
      <c r="AK55" s="31">
        <f t="shared" si="12"/>
        <v>0.83249997348638161</v>
      </c>
      <c r="AL55" s="40"/>
      <c r="AM55" s="79">
        <f t="shared" si="13"/>
        <v>35</v>
      </c>
      <c r="AN55" s="79">
        <f t="shared" si="14"/>
        <v>120000</v>
      </c>
      <c r="AO55" s="17"/>
      <c r="AP55" s="68">
        <f t="shared" si="15"/>
        <v>1.1282103896103894E-2</v>
      </c>
      <c r="AQ55" s="68">
        <f t="shared" si="38"/>
        <v>1.1293385999999999E-2</v>
      </c>
      <c r="AR55" s="31">
        <f t="shared" si="39"/>
        <v>3.9960039960038607</v>
      </c>
      <c r="AS55" s="31">
        <f t="shared" si="40"/>
        <v>4.9999999999998934</v>
      </c>
      <c r="AT55" s="31">
        <f t="shared" si="41"/>
        <v>4.2624045015548035E-14</v>
      </c>
      <c r="AU55" s="40"/>
      <c r="AV55" s="82">
        <f t="shared" si="16"/>
        <v>199.72151846458468</v>
      </c>
      <c r="AW55" s="79">
        <f t="shared" si="17"/>
        <v>8999.9938975418354</v>
      </c>
      <c r="AX55" s="18">
        <f t="shared" si="42"/>
        <v>211.04954167250119</v>
      </c>
      <c r="AY55" s="31">
        <f t="shared" si="43"/>
        <v>10.552477083625062</v>
      </c>
      <c r="AZ55" s="31">
        <f t="shared" si="18"/>
        <v>7.0634404542058682E-7</v>
      </c>
      <c r="BA55" s="40"/>
      <c r="BB55" s="82">
        <f t="shared" si="19"/>
        <v>126.57857607524092</v>
      </c>
      <c r="BC55" s="79">
        <f t="shared" si="20"/>
        <v>1368.9538365155718</v>
      </c>
      <c r="BD55" s="31">
        <f t="shared" si="44"/>
        <v>0.48229941499074175</v>
      </c>
      <c r="BE55" s="17">
        <f t="shared" si="45"/>
        <v>5.787592979888902E-3</v>
      </c>
      <c r="BF55" s="31">
        <f t="shared" si="21"/>
        <v>2.9471946813848186E-2</v>
      </c>
      <c r="BG55" s="40"/>
      <c r="BH55" s="80">
        <f t="shared" si="22"/>
        <v>7.1682197824742371</v>
      </c>
      <c r="BI55" s="80">
        <f t="shared" si="23"/>
        <v>4.5222722474907115</v>
      </c>
      <c r="BJ55" s="18">
        <f t="shared" si="46"/>
        <v>60336.682880279783</v>
      </c>
      <c r="BK55" s="18">
        <f t="shared" si="47"/>
        <v>42.235678016195848</v>
      </c>
      <c r="BL55" s="31">
        <f t="shared" si="24"/>
        <v>0.8125817884708646</v>
      </c>
      <c r="BN55" s="31"/>
      <c r="BO55" s="31"/>
      <c r="BP55" s="31"/>
      <c r="BQ55" s="31">
        <v>-4.1582898740505859E-14</v>
      </c>
      <c r="BR55" s="31">
        <v>0.553177069441255</v>
      </c>
      <c r="BS55" s="31">
        <v>0.43342093681623406</v>
      </c>
      <c r="BT55" s="31">
        <v>0.83249997348633364</v>
      </c>
      <c r="BU55" s="31">
        <v>4.2624045015548035E-14</v>
      </c>
      <c r="BV55" s="31">
        <v>7.0634404542058682E-7</v>
      </c>
      <c r="BW55" s="31">
        <v>2.9471946813848186E-2</v>
      </c>
      <c r="BX55" s="31">
        <v>0.8125817884708646</v>
      </c>
      <c r="BY55" s="36"/>
      <c r="BZ55" s="36"/>
      <c r="CA55" s="83"/>
      <c r="CB55" s="83"/>
      <c r="CC55" s="83"/>
      <c r="CD55" s="83"/>
      <c r="CE55" s="83"/>
      <c r="CF55" s="83"/>
      <c r="CG55" s="83"/>
      <c r="CI55" s="31"/>
      <c r="CJ55" s="31"/>
    </row>
    <row r="56" spans="1:88" ht="17" x14ac:dyDescent="0.2">
      <c r="A56" s="103" t="s">
        <v>107</v>
      </c>
      <c r="B56" s="96" t="s">
        <v>99</v>
      </c>
      <c r="C56" s="97">
        <v>0.5</v>
      </c>
      <c r="D56" s="104" t="s">
        <v>108</v>
      </c>
      <c r="E56" s="99">
        <v>2.5</v>
      </c>
      <c r="F56" s="99">
        <v>0.5</v>
      </c>
      <c r="G56" s="79"/>
      <c r="H56" s="36">
        <v>98.999999999999915</v>
      </c>
      <c r="I56" s="79">
        <f t="shared" si="25"/>
        <v>432.01337080748215</v>
      </c>
      <c r="J56" s="79">
        <f t="shared" si="26"/>
        <v>389353.90946502058</v>
      </c>
      <c r="K56" s="80">
        <f t="shared" si="27"/>
        <v>19.286311196762597</v>
      </c>
      <c r="L56" s="68">
        <f t="shared" si="0"/>
        <v>2.1175871723084751E-2</v>
      </c>
      <c r="M56" s="68">
        <f t="shared" si="1"/>
        <v>2.1175871723084751E-2</v>
      </c>
      <c r="N56" s="31">
        <f t="shared" si="2"/>
        <v>-1.6000000000000458</v>
      </c>
      <c r="O56" s="31">
        <f t="shared" si="3"/>
        <v>-1.6000000000000458</v>
      </c>
      <c r="P56" s="31">
        <f t="shared" si="28"/>
        <v>-4.1582898740505859E-14</v>
      </c>
      <c r="Q56" s="40"/>
      <c r="R56" s="81">
        <f t="shared" si="29"/>
        <v>0.27882865168371074</v>
      </c>
      <c r="S56" s="81">
        <f t="shared" si="4"/>
        <v>0.42720238769854335</v>
      </c>
      <c r="T56" s="31">
        <f t="shared" si="5"/>
        <v>0.545868261587235</v>
      </c>
      <c r="U56" s="54">
        <f t="shared" si="30"/>
        <v>3719.9810804386257</v>
      </c>
      <c r="V56" s="31">
        <f t="shared" si="31"/>
        <v>6.3239678367456635</v>
      </c>
      <c r="W56" s="40"/>
      <c r="X56" s="17">
        <f t="shared" si="6"/>
        <v>12.485040632254965</v>
      </c>
      <c r="Y56" s="17">
        <f t="shared" si="32"/>
        <v>12.472561832062706</v>
      </c>
      <c r="Z56" s="31">
        <f t="shared" si="7"/>
        <v>25.646087939745321</v>
      </c>
      <c r="AA56" s="31">
        <f t="shared" si="33"/>
        <v>24.620954503951296</v>
      </c>
      <c r="AB56" s="31">
        <f t="shared" si="8"/>
        <v>0.32887250930729761</v>
      </c>
      <c r="AC56" s="40"/>
      <c r="AD56" s="79">
        <f t="shared" si="34"/>
        <v>888888.88888888888</v>
      </c>
      <c r="AE56" s="79">
        <f t="shared" si="9"/>
        <v>480000</v>
      </c>
      <c r="AF56" s="31">
        <f t="shared" si="10"/>
        <v>0.54554067460414135</v>
      </c>
      <c r="AG56" s="68">
        <f t="shared" si="11"/>
        <v>2.0056455303795661E-3</v>
      </c>
      <c r="AH56" s="68">
        <f t="shared" si="35"/>
        <v>2.0706284455638642E-3</v>
      </c>
      <c r="AI56" s="31">
        <f t="shared" si="36"/>
        <v>-29.776736464993125</v>
      </c>
      <c r="AJ56" s="31">
        <f t="shared" si="37"/>
        <v>1.6584972735411707</v>
      </c>
      <c r="AK56" s="31">
        <f t="shared" si="12"/>
        <v>0.8021723262298518</v>
      </c>
      <c r="AL56" s="40"/>
      <c r="AM56" s="79">
        <f t="shared" si="13"/>
        <v>35</v>
      </c>
      <c r="AN56" s="79">
        <f t="shared" si="14"/>
        <v>120000</v>
      </c>
      <c r="AO56" s="17"/>
      <c r="AP56" s="68">
        <f t="shared" si="15"/>
        <v>1.1282103896103894E-2</v>
      </c>
      <c r="AQ56" s="68">
        <f t="shared" si="38"/>
        <v>1.1293385999999999E-2</v>
      </c>
      <c r="AR56" s="31">
        <f t="shared" si="39"/>
        <v>3.9960039960038607</v>
      </c>
      <c r="AS56" s="31">
        <f t="shared" si="40"/>
        <v>4.9999999999998934</v>
      </c>
      <c r="AT56" s="31">
        <f t="shared" si="41"/>
        <v>4.2624045015548035E-14</v>
      </c>
      <c r="AU56" s="40"/>
      <c r="AV56" s="82">
        <f t="shared" si="16"/>
        <v>199.72164618499909</v>
      </c>
      <c r="AW56" s="79">
        <f t="shared" si="17"/>
        <v>8999.9996529704895</v>
      </c>
      <c r="AX56" s="18">
        <f t="shared" si="42"/>
        <v>211.04967663710158</v>
      </c>
      <c r="AY56" s="31">
        <f t="shared" si="43"/>
        <v>10.55248383185508</v>
      </c>
      <c r="AZ56" s="31">
        <f t="shared" si="18"/>
        <v>4.016778513352863E-8</v>
      </c>
      <c r="BA56" s="40"/>
      <c r="BB56" s="82">
        <f t="shared" si="19"/>
        <v>109.17875875060963</v>
      </c>
      <c r="BC56" s="79">
        <f t="shared" si="20"/>
        <v>1180.7739136582845</v>
      </c>
      <c r="BD56" s="31">
        <f t="shared" si="44"/>
        <v>0.41600129427537585</v>
      </c>
      <c r="BE56" s="17">
        <f t="shared" si="45"/>
        <v>4.9920155313045115E-3</v>
      </c>
      <c r="BF56" s="31">
        <f t="shared" si="21"/>
        <v>1.4440178259112063E-2</v>
      </c>
      <c r="BG56" s="40"/>
      <c r="BH56" s="80">
        <f t="shared" si="22"/>
        <v>7.5906535549336507</v>
      </c>
      <c r="BI56" s="80">
        <f t="shared" si="23"/>
        <v>4.788776426152574</v>
      </c>
      <c r="BJ56" s="18">
        <f t="shared" si="46"/>
        <v>63892.412662606046</v>
      </c>
      <c r="BK56" s="18">
        <f t="shared" si="47"/>
        <v>44.724688863824227</v>
      </c>
      <c r="BL56" s="31">
        <f t="shared" si="24"/>
        <v>0.77915086170057435</v>
      </c>
      <c r="BN56" s="31"/>
      <c r="BO56" s="31"/>
      <c r="BP56" s="31"/>
      <c r="BQ56" s="31">
        <v>-4.1582898740505859E-14</v>
      </c>
      <c r="BR56" s="31">
        <v>0.49069584618060813</v>
      </c>
      <c r="BS56" s="31">
        <v>0.3736071781128254</v>
      </c>
      <c r="BT56" s="31">
        <v>0.80217232622981138</v>
      </c>
      <c r="BU56" s="31">
        <v>4.2624045015548035E-14</v>
      </c>
      <c r="BV56" s="31">
        <v>4.016778513352863E-8</v>
      </c>
      <c r="BW56" s="31">
        <v>1.4440178259112063E-2</v>
      </c>
      <c r="BX56" s="31">
        <v>0.77915086170057435</v>
      </c>
      <c r="BY56" s="36"/>
      <c r="BZ56" s="36"/>
      <c r="CA56" s="83"/>
      <c r="CB56" s="83"/>
      <c r="CC56" s="83"/>
      <c r="CD56" s="83"/>
      <c r="CE56" s="83"/>
      <c r="CF56" s="83"/>
      <c r="CG56" s="83"/>
      <c r="CI56" s="31"/>
      <c r="CJ56" s="31"/>
    </row>
    <row r="57" spans="1:88" ht="17" x14ac:dyDescent="0.2">
      <c r="A57" s="106" t="s">
        <v>21</v>
      </c>
      <c r="B57" s="14" t="s">
        <v>42</v>
      </c>
      <c r="C57" s="88">
        <v>35</v>
      </c>
      <c r="D57" s="89" t="s">
        <v>96</v>
      </c>
      <c r="E57" s="88">
        <v>35</v>
      </c>
      <c r="F57" s="88">
        <v>40</v>
      </c>
      <c r="G57" s="79"/>
      <c r="H57" s="36">
        <v>123.99999999999989</v>
      </c>
      <c r="I57" s="79">
        <f t="shared" si="25"/>
        <v>432.01337080748215</v>
      </c>
      <c r="J57" s="79">
        <f t="shared" si="26"/>
        <v>389353.90946502058</v>
      </c>
      <c r="K57" s="80">
        <f t="shared" si="27"/>
        <v>19.286311196762597</v>
      </c>
      <c r="L57" s="68">
        <f t="shared" si="0"/>
        <v>2.1175871723084751E-2</v>
      </c>
      <c r="M57" s="68">
        <f t="shared" si="1"/>
        <v>2.1175871723084751E-2</v>
      </c>
      <c r="N57" s="31">
        <f t="shared" si="2"/>
        <v>-1.6000000000000458</v>
      </c>
      <c r="O57" s="31">
        <f t="shared" si="3"/>
        <v>-1.6000000000000458</v>
      </c>
      <c r="P57" s="31">
        <f t="shared" si="28"/>
        <v>-4.1582898740505859E-14</v>
      </c>
      <c r="Q57" s="40"/>
      <c r="R57" s="81">
        <f t="shared" si="29"/>
        <v>0.29481684792416768</v>
      </c>
      <c r="S57" s="81">
        <f t="shared" si="4"/>
        <v>0.45169841982318992</v>
      </c>
      <c r="T57" s="31">
        <f t="shared" si="5"/>
        <v>0.46848521043524199</v>
      </c>
      <c r="U57" s="54">
        <f t="shared" si="30"/>
        <v>3933.2869482742822</v>
      </c>
      <c r="V57" s="31">
        <f t="shared" si="31"/>
        <v>6.6865878120662776</v>
      </c>
      <c r="W57" s="40"/>
      <c r="X57" s="17">
        <f t="shared" si="6"/>
        <v>12.478388113958523</v>
      </c>
      <c r="Y57" s="17">
        <f t="shared" si="32"/>
        <v>12.465915962959411</v>
      </c>
      <c r="Z57" s="31">
        <f t="shared" si="7"/>
        <v>25.099583561692729</v>
      </c>
      <c r="AA57" s="31">
        <f t="shared" si="33"/>
        <v>24.07499635711563</v>
      </c>
      <c r="AB57" s="31">
        <f t="shared" si="8"/>
        <v>0.26036669379011546</v>
      </c>
      <c r="AC57" s="40"/>
      <c r="AD57" s="79">
        <f t="shared" si="34"/>
        <v>888888.88888888888</v>
      </c>
      <c r="AE57" s="79">
        <f t="shared" si="9"/>
        <v>480000</v>
      </c>
      <c r="AF57" s="31">
        <f t="shared" si="10"/>
        <v>0.46813309241251227</v>
      </c>
      <c r="AG57" s="68">
        <f t="shared" si="11"/>
        <v>2.0055199339544987E-3</v>
      </c>
      <c r="AH57" s="68">
        <f t="shared" si="35"/>
        <v>2.0704987798146248E-3</v>
      </c>
      <c r="AI57" s="31">
        <f t="shared" si="36"/>
        <v>-29.837493249565195</v>
      </c>
      <c r="AJ57" s="31">
        <f t="shared" si="37"/>
        <v>1.5957719691490624</v>
      </c>
      <c r="AK57" s="31">
        <f t="shared" si="12"/>
        <v>0.7587397653711706</v>
      </c>
      <c r="AL57" s="40"/>
      <c r="AM57" s="79">
        <f t="shared" si="13"/>
        <v>35</v>
      </c>
      <c r="AN57" s="79">
        <f t="shared" si="14"/>
        <v>120000</v>
      </c>
      <c r="AO57" s="17"/>
      <c r="AP57" s="68">
        <f t="shared" si="15"/>
        <v>1.1282103896103894E-2</v>
      </c>
      <c r="AQ57" s="68">
        <f t="shared" si="38"/>
        <v>1.1293385999999999E-2</v>
      </c>
      <c r="AR57" s="31">
        <f t="shared" si="39"/>
        <v>3.9960039960038607</v>
      </c>
      <c r="AS57" s="31">
        <f t="shared" si="40"/>
        <v>4.9999999999998934</v>
      </c>
      <c r="AT57" s="31">
        <f t="shared" si="41"/>
        <v>4.2624045015548035E-14</v>
      </c>
      <c r="AU57" s="40"/>
      <c r="AV57" s="82">
        <f t="shared" si="16"/>
        <v>199.7216537815994</v>
      </c>
      <c r="AW57" s="79">
        <f t="shared" si="17"/>
        <v>8999.9999952939252</v>
      </c>
      <c r="AX57" s="18">
        <f t="shared" si="42"/>
        <v>211.04968466457416</v>
      </c>
      <c r="AY57" s="31">
        <f t="shared" si="43"/>
        <v>10.552484233228707</v>
      </c>
      <c r="AZ57" s="31">
        <f t="shared" si="18"/>
        <v>5.4471621859368002E-10</v>
      </c>
      <c r="BA57" s="40"/>
      <c r="BB57" s="82">
        <f t="shared" si="19"/>
        <v>98.196343411150465</v>
      </c>
      <c r="BC57" s="79">
        <f t="shared" si="20"/>
        <v>1061.9985246523017</v>
      </c>
      <c r="BD57" s="31">
        <f t="shared" si="44"/>
        <v>0.37415525162232877</v>
      </c>
      <c r="BE57" s="17">
        <f t="shared" si="45"/>
        <v>4.4898630194679457E-3</v>
      </c>
      <c r="BF57" s="31">
        <f t="shared" si="21"/>
        <v>4.9524277572123151E-3</v>
      </c>
      <c r="BG57" s="40"/>
      <c r="BH57" s="80">
        <f t="shared" si="22"/>
        <v>8.1919420585275855</v>
      </c>
      <c r="BI57" s="80">
        <f t="shared" si="23"/>
        <v>5.1681161220679099</v>
      </c>
      <c r="BJ57" s="18">
        <f t="shared" si="46"/>
        <v>68953.607054218664</v>
      </c>
      <c r="BK57" s="18">
        <f t="shared" si="47"/>
        <v>48.267524937953063</v>
      </c>
      <c r="BL57" s="31">
        <f t="shared" si="24"/>
        <v>0.73156557557528568</v>
      </c>
      <c r="BN57" s="31"/>
      <c r="BO57" s="31"/>
      <c r="BP57" s="31"/>
      <c r="BQ57" s="31">
        <v>-4.1582898740505859E-14</v>
      </c>
      <c r="BR57" s="31">
        <v>0.40995359594239256</v>
      </c>
      <c r="BS57" s="31">
        <v>0.30138575493892472</v>
      </c>
      <c r="BT57" s="31">
        <v>0.75873976537110721</v>
      </c>
      <c r="BU57" s="31">
        <v>4.2624045015548035E-14</v>
      </c>
      <c r="BV57" s="31">
        <v>5.4471621859368002E-10</v>
      </c>
      <c r="BW57" s="31">
        <v>4.9524277572123151E-3</v>
      </c>
      <c r="BX57" s="31">
        <v>0.73156557557528568</v>
      </c>
      <c r="BY57" s="36"/>
      <c r="BZ57" s="36"/>
      <c r="CA57" s="83"/>
      <c r="CB57" s="83"/>
      <c r="CC57" s="83"/>
      <c r="CD57" s="83"/>
      <c r="CE57" s="83"/>
      <c r="CF57" s="83"/>
      <c r="CG57" s="83"/>
      <c r="CI57" s="31"/>
      <c r="CJ57" s="31"/>
    </row>
    <row r="58" spans="1:88" ht="17" x14ac:dyDescent="0.2">
      <c r="A58" s="106" t="s">
        <v>22</v>
      </c>
      <c r="B58" s="14" t="s">
        <v>42</v>
      </c>
      <c r="C58" s="93">
        <v>120000</v>
      </c>
      <c r="D58" s="101" t="s">
        <v>97</v>
      </c>
      <c r="E58" s="88">
        <v>120000</v>
      </c>
      <c r="F58" s="88">
        <v>120000</v>
      </c>
      <c r="G58" s="79"/>
      <c r="H58" s="36">
        <v>165.66666666666652</v>
      </c>
      <c r="I58" s="79">
        <f t="shared" si="25"/>
        <v>432.01337080748215</v>
      </c>
      <c r="J58" s="79">
        <f t="shared" si="26"/>
        <v>389353.90946502058</v>
      </c>
      <c r="K58" s="80">
        <f t="shared" si="27"/>
        <v>19.286311196762597</v>
      </c>
      <c r="L58" s="68">
        <f t="shared" si="0"/>
        <v>2.1175871723084751E-2</v>
      </c>
      <c r="M58" s="68">
        <f t="shared" si="1"/>
        <v>2.1175871723084751E-2</v>
      </c>
      <c r="N58" s="31">
        <f t="shared" si="2"/>
        <v>-1.6000000000000458</v>
      </c>
      <c r="O58" s="31">
        <f t="shared" si="3"/>
        <v>-1.6000000000000458</v>
      </c>
      <c r="P58" s="31">
        <f t="shared" si="28"/>
        <v>-4.1582898740505859E-14</v>
      </c>
      <c r="Q58" s="40"/>
      <c r="R58" s="81">
        <f t="shared" si="29"/>
        <v>0.31658777254339154</v>
      </c>
      <c r="S58" s="81">
        <f t="shared" si="4"/>
        <v>0.48505435696801236</v>
      </c>
      <c r="T58" s="31">
        <f t="shared" si="5"/>
        <v>0.36311368833867297</v>
      </c>
      <c r="U58" s="54">
        <f t="shared" si="30"/>
        <v>4223.7428508442808</v>
      </c>
      <c r="V58" s="31">
        <f t="shared" si="31"/>
        <v>7.1803628464352771</v>
      </c>
      <c r="W58" s="40"/>
      <c r="X58" s="17">
        <f t="shared" si="6"/>
        <v>12.470591072480961</v>
      </c>
      <c r="Y58" s="17">
        <f t="shared" si="32"/>
        <v>12.458126714626104</v>
      </c>
      <c r="Z58" s="31">
        <f t="shared" si="7"/>
        <v>24.459056604310803</v>
      </c>
      <c r="AA58" s="31">
        <f t="shared" si="33"/>
        <v>23.43510960653439</v>
      </c>
      <c r="AB58" s="31">
        <f t="shared" si="8"/>
        <v>0.1800748913117203</v>
      </c>
      <c r="AC58" s="40"/>
      <c r="AD58" s="79">
        <f t="shared" si="34"/>
        <v>888888.88888888888</v>
      </c>
      <c r="AE58" s="79">
        <f t="shared" si="9"/>
        <v>480000</v>
      </c>
      <c r="AF58" s="31">
        <f t="shared" si="10"/>
        <v>0.3627491077143512</v>
      </c>
      <c r="AG58" s="68">
        <f t="shared" si="11"/>
        <v>2.0053255355965906E-3</v>
      </c>
      <c r="AH58" s="68">
        <f t="shared" si="35"/>
        <v>2.0702980829499203E-3</v>
      </c>
      <c r="AI58" s="31">
        <f t="shared" si="36"/>
        <v>-29.931532702887619</v>
      </c>
      <c r="AJ58" s="31">
        <f t="shared" si="37"/>
        <v>1.4986856375389657</v>
      </c>
      <c r="AK58" s="31">
        <f t="shared" si="12"/>
        <v>0.69151477464267375</v>
      </c>
      <c r="AL58" s="40"/>
      <c r="AM58" s="79">
        <f t="shared" si="13"/>
        <v>35</v>
      </c>
      <c r="AN58" s="79">
        <f t="shared" si="14"/>
        <v>120000</v>
      </c>
      <c r="AO58" s="17"/>
      <c r="AP58" s="68">
        <f t="shared" si="15"/>
        <v>1.1282103896103894E-2</v>
      </c>
      <c r="AQ58" s="68">
        <f t="shared" si="38"/>
        <v>1.1293385999999999E-2</v>
      </c>
      <c r="AR58" s="31">
        <f t="shared" si="39"/>
        <v>3.9960039960038607</v>
      </c>
      <c r="AS58" s="31">
        <f t="shared" si="40"/>
        <v>4.9999999999998934</v>
      </c>
      <c r="AT58" s="31">
        <f t="shared" si="41"/>
        <v>4.2624045015548035E-14</v>
      </c>
      <c r="AU58" s="40"/>
      <c r="AV58" s="82">
        <f t="shared" si="16"/>
        <v>199.72165388595275</v>
      </c>
      <c r="AW58" s="79">
        <f t="shared" si="17"/>
        <v>8999.9999999963711</v>
      </c>
      <c r="AX58" s="18">
        <f t="shared" si="42"/>
        <v>211.04968477484636</v>
      </c>
      <c r="AY58" s="31">
        <f t="shared" si="43"/>
        <v>10.552484238742318</v>
      </c>
      <c r="AZ58" s="31">
        <f t="shared" si="18"/>
        <v>4.2003409723530054E-13</v>
      </c>
      <c r="BA58" s="40"/>
      <c r="BB58" s="82">
        <f t="shared" si="19"/>
        <v>93.427029807773124</v>
      </c>
      <c r="BC58" s="79">
        <f t="shared" si="20"/>
        <v>1010.4181517540605</v>
      </c>
      <c r="BD58" s="31">
        <f t="shared" si="44"/>
        <v>0.35598284652710183</v>
      </c>
      <c r="BE58" s="17">
        <f t="shared" si="45"/>
        <v>4.2717941583252216E-3</v>
      </c>
      <c r="BF58" s="31">
        <f t="shared" si="21"/>
        <v>8.3219954369904688E-4</v>
      </c>
      <c r="BG58" s="40"/>
      <c r="BH58" s="80">
        <f t="shared" si="22"/>
        <v>9.1135969451323469</v>
      </c>
      <c r="BI58" s="80">
        <f t="shared" si="23"/>
        <v>5.7495679248777645</v>
      </c>
      <c r="BJ58" s="18">
        <f t="shared" si="46"/>
        <v>76711.404709097085</v>
      </c>
      <c r="BK58" s="18">
        <f t="shared" si="47"/>
        <v>53.697983296367951</v>
      </c>
      <c r="BL58" s="31">
        <f t="shared" si="24"/>
        <v>0.65862685942534926</v>
      </c>
      <c r="BN58" s="31"/>
      <c r="BO58" s="31"/>
      <c r="BP58" s="31"/>
      <c r="BQ58" s="31">
        <v>-4.1582898740505859E-14</v>
      </c>
      <c r="BR58" s="31">
        <v>0.30381221513005241</v>
      </c>
      <c r="BS58" s="31">
        <v>0.21411429170380669</v>
      </c>
      <c r="BT58" s="31">
        <v>0.69151477464251432</v>
      </c>
      <c r="BU58" s="31">
        <v>4.2624045015548035E-14</v>
      </c>
      <c r="BV58" s="31">
        <v>4.2003409723530054E-13</v>
      </c>
      <c r="BW58" s="31">
        <v>8.3219954369904688E-4</v>
      </c>
      <c r="BX58" s="31">
        <v>0.65862685942534926</v>
      </c>
      <c r="BY58" s="36"/>
      <c r="BZ58" s="36"/>
      <c r="CA58" s="83"/>
      <c r="CB58" s="83"/>
      <c r="CC58" s="83"/>
      <c r="CD58" s="83"/>
      <c r="CE58" s="83"/>
      <c r="CF58" s="83"/>
      <c r="CG58" s="83"/>
      <c r="CI58" s="31"/>
      <c r="CJ58" s="31"/>
    </row>
    <row r="59" spans="1:88" ht="17" x14ac:dyDescent="0.2">
      <c r="A59" s="102" t="s">
        <v>109</v>
      </c>
      <c r="B59" s="14" t="s">
        <v>99</v>
      </c>
      <c r="C59" s="94">
        <v>1.5</v>
      </c>
      <c r="D59" s="101" t="s">
        <v>108</v>
      </c>
      <c r="E59" s="94">
        <v>1.5</v>
      </c>
      <c r="F59" s="94">
        <v>4</v>
      </c>
      <c r="G59" s="79"/>
      <c r="H59" s="36">
        <v>221.22222222222476</v>
      </c>
      <c r="I59" s="79">
        <f t="shared" si="25"/>
        <v>432.01337080748215</v>
      </c>
      <c r="J59" s="79">
        <f t="shared" si="26"/>
        <v>389353.90946502058</v>
      </c>
      <c r="K59" s="80">
        <f t="shared" si="27"/>
        <v>19.286311196762597</v>
      </c>
      <c r="L59" s="68">
        <f t="shared" si="0"/>
        <v>2.1175871723084751E-2</v>
      </c>
      <c r="M59" s="68">
        <f t="shared" si="1"/>
        <v>2.1175871723084751E-2</v>
      </c>
      <c r="N59" s="31">
        <f t="shared" si="2"/>
        <v>-1.6000000000000458</v>
      </c>
      <c r="O59" s="31">
        <f t="shared" si="3"/>
        <v>-1.6000000000000458</v>
      </c>
      <c r="P59" s="31">
        <f t="shared" si="28"/>
        <v>-4.1582898740505859E-14</v>
      </c>
      <c r="Q59" s="40"/>
      <c r="R59" s="81">
        <f t="shared" si="29"/>
        <v>0.33819666129707648</v>
      </c>
      <c r="S59" s="81">
        <f t="shared" si="4"/>
        <v>0.51816203372699199</v>
      </c>
      <c r="T59" s="31">
        <f t="shared" si="5"/>
        <v>0.25852642166922507</v>
      </c>
      <c r="U59" s="54">
        <f t="shared" si="30"/>
        <v>4512.0369585251347</v>
      </c>
      <c r="V59" s="31">
        <f t="shared" si="31"/>
        <v>7.6704628294927293</v>
      </c>
      <c r="W59" s="40"/>
      <c r="X59" s="17">
        <f t="shared" si="6"/>
        <v>12.464085815475517</v>
      </c>
      <c r="Y59" s="17">
        <f t="shared" si="32"/>
        <v>12.451627959626121</v>
      </c>
      <c r="Z59" s="31">
        <f t="shared" si="7"/>
        <v>23.924649741313697</v>
      </c>
      <c r="AA59" s="31">
        <f t="shared" si="33"/>
        <v>22.901236883285936</v>
      </c>
      <c r="AB59" s="31">
        <f t="shared" si="8"/>
        <v>0.11308553232788419</v>
      </c>
      <c r="AC59" s="40"/>
      <c r="AD59" s="79">
        <f t="shared" si="34"/>
        <v>888888.88888888888</v>
      </c>
      <c r="AE59" s="79">
        <f t="shared" si="9"/>
        <v>480000</v>
      </c>
      <c r="AF59" s="31">
        <f t="shared" si="10"/>
        <v>0.2581798633097418</v>
      </c>
      <c r="AG59" s="68">
        <f t="shared" si="11"/>
        <v>2.0050928626815911E-3</v>
      </c>
      <c r="AH59" s="68">
        <f t="shared" si="35"/>
        <v>2.0700578714324749E-3</v>
      </c>
      <c r="AI59" s="31">
        <f t="shared" si="36"/>
        <v>-30.04408732508168</v>
      </c>
      <c r="AJ59" s="31">
        <f t="shared" si="37"/>
        <v>1.3824842455858466</v>
      </c>
      <c r="AK59" s="31">
        <f t="shared" si="12"/>
        <v>0.61105404070477232</v>
      </c>
      <c r="AL59" s="40"/>
      <c r="AM59" s="79">
        <f t="shared" si="13"/>
        <v>35</v>
      </c>
      <c r="AN59" s="79">
        <f t="shared" si="14"/>
        <v>120000</v>
      </c>
      <c r="AO59" s="17"/>
      <c r="AP59" s="68">
        <f t="shared" si="15"/>
        <v>1.1282103896103894E-2</v>
      </c>
      <c r="AQ59" s="68">
        <f t="shared" si="38"/>
        <v>1.1293385999999999E-2</v>
      </c>
      <c r="AR59" s="31">
        <f t="shared" si="39"/>
        <v>3.9960039960038607</v>
      </c>
      <c r="AS59" s="31">
        <f t="shared" si="40"/>
        <v>4.9999999999998934</v>
      </c>
      <c r="AT59" s="31">
        <f t="shared" si="41"/>
        <v>4.2624045015548035E-14</v>
      </c>
      <c r="AU59" s="40"/>
      <c r="AV59" s="82">
        <f t="shared" si="16"/>
        <v>199.72165388603329</v>
      </c>
      <c r="AW59" s="79">
        <f t="shared" si="17"/>
        <v>9000</v>
      </c>
      <c r="AX59" s="18">
        <f t="shared" si="42"/>
        <v>211.04968477493145</v>
      </c>
      <c r="AY59" s="31">
        <f t="shared" si="43"/>
        <v>10.552484238746572</v>
      </c>
      <c r="AZ59" s="31">
        <f t="shared" si="18"/>
        <v>0</v>
      </c>
      <c r="BA59" s="40"/>
      <c r="BB59" s="82">
        <f t="shared" si="19"/>
        <v>92.553053957264623</v>
      </c>
      <c r="BC59" s="79">
        <f t="shared" si="20"/>
        <v>1000.9660578004647</v>
      </c>
      <c r="BD59" s="31">
        <f t="shared" si="44"/>
        <v>0.3526527565980942</v>
      </c>
      <c r="BE59" s="17">
        <f t="shared" si="45"/>
        <v>4.2318330791771301E-3</v>
      </c>
      <c r="BF59" s="31">
        <f t="shared" si="21"/>
        <v>7.7168472845509035E-5</v>
      </c>
      <c r="BG59" s="40"/>
      <c r="BH59" s="80">
        <f t="shared" si="22"/>
        <v>10.201139243522583</v>
      </c>
      <c r="BI59" s="80">
        <f t="shared" si="23"/>
        <v>6.4356744482864041</v>
      </c>
      <c r="BJ59" s="18">
        <f t="shared" si="46"/>
        <v>85865.517831757606</v>
      </c>
      <c r="BK59" s="18">
        <f t="shared" si="47"/>
        <v>60.105862482230329</v>
      </c>
      <c r="BL59" s="31">
        <f t="shared" si="24"/>
        <v>0.57256000277844055</v>
      </c>
      <c r="BN59" s="31"/>
      <c r="BO59" s="31"/>
      <c r="BP59" s="31"/>
      <c r="BQ59" s="31">
        <v>-4.1582898740505859E-14</v>
      </c>
      <c r="BR59" s="31">
        <v>0.20375077649690798</v>
      </c>
      <c r="BS59" s="31">
        <v>0.138698195367956</v>
      </c>
      <c r="BT59" s="31">
        <v>0.61105404070468994</v>
      </c>
      <c r="BU59" s="31">
        <v>4.2624045015548035E-14</v>
      </c>
      <c r="BV59" s="31">
        <v>0</v>
      </c>
      <c r="BW59" s="31">
        <v>7.7168472845509035E-5</v>
      </c>
      <c r="BX59" s="31">
        <v>0.57256000277844055</v>
      </c>
      <c r="BY59" s="36"/>
      <c r="BZ59" s="36"/>
      <c r="CA59" s="83"/>
      <c r="CB59" s="83"/>
      <c r="CC59" s="83"/>
      <c r="CD59" s="83"/>
      <c r="CE59" s="83"/>
      <c r="CF59" s="83"/>
      <c r="CG59" s="83"/>
      <c r="CI59" s="31"/>
      <c r="CJ59" s="31"/>
    </row>
    <row r="60" spans="1:88" ht="17" x14ac:dyDescent="0.2">
      <c r="A60" s="103" t="s">
        <v>110</v>
      </c>
      <c r="B60" s="96" t="s">
        <v>99</v>
      </c>
      <c r="C60" s="99">
        <v>5</v>
      </c>
      <c r="D60" s="104" t="s">
        <v>108</v>
      </c>
      <c r="E60" s="99">
        <v>2.5</v>
      </c>
      <c r="F60" s="99">
        <v>5</v>
      </c>
      <c r="G60" s="79"/>
      <c r="H60" s="36">
        <v>321.58064516129122</v>
      </c>
      <c r="I60" s="79">
        <f t="shared" si="25"/>
        <v>432.01337080748215</v>
      </c>
      <c r="J60" s="79">
        <f t="shared" si="26"/>
        <v>389353.90946502058</v>
      </c>
      <c r="K60" s="80">
        <f t="shared" si="27"/>
        <v>19.286311196762597</v>
      </c>
      <c r="L60" s="68">
        <f t="shared" si="0"/>
        <v>2.1175871723084751E-2</v>
      </c>
      <c r="M60" s="68">
        <f t="shared" si="1"/>
        <v>2.1175871723084751E-2</v>
      </c>
      <c r="N60" s="31">
        <f t="shared" si="2"/>
        <v>-1.6000000000000458</v>
      </c>
      <c r="O60" s="31">
        <f t="shared" si="3"/>
        <v>-1.6000000000000458</v>
      </c>
      <c r="P60" s="31">
        <f t="shared" si="28"/>
        <v>-4.1582898740505859E-14</v>
      </c>
      <c r="Q60" s="40"/>
      <c r="R60" s="81">
        <f t="shared" si="29"/>
        <v>0.36269504283767279</v>
      </c>
      <c r="S60" s="81">
        <f t="shared" si="4"/>
        <v>0.55569679575985687</v>
      </c>
      <c r="T60" s="31">
        <f t="shared" si="5"/>
        <v>0.13995397713668109</v>
      </c>
      <c r="U60" s="54">
        <f t="shared" si="30"/>
        <v>4838.8811163334312</v>
      </c>
      <c r="V60" s="31">
        <f t="shared" si="31"/>
        <v>8.2260978977668326</v>
      </c>
      <c r="W60" s="40"/>
      <c r="X60" s="17">
        <f t="shared" si="6"/>
        <v>12.458037290544645</v>
      </c>
      <c r="Y60" s="17">
        <f t="shared" si="32"/>
        <v>12.445585480196925</v>
      </c>
      <c r="Z60" s="31">
        <f t="shared" si="7"/>
        <v>23.427763418242709</v>
      </c>
      <c r="AA60" s="31">
        <f t="shared" si="33"/>
        <v>22.404847198177478</v>
      </c>
      <c r="AB60" s="31">
        <f t="shared" si="8"/>
        <v>5.0799475439157901E-2</v>
      </c>
      <c r="AC60" s="40"/>
      <c r="AD60" s="79">
        <f t="shared" si="34"/>
        <v>888888.88888888888</v>
      </c>
      <c r="AE60" s="79">
        <f t="shared" si="9"/>
        <v>480000</v>
      </c>
      <c r="AF60" s="31">
        <f t="shared" si="10"/>
        <v>0.1396813395467332</v>
      </c>
      <c r="AG60" s="68">
        <f t="shared" si="11"/>
        <v>2.0047390164119297E-3</v>
      </c>
      <c r="AH60" s="68">
        <f t="shared" si="35"/>
        <v>2.0696925605436763E-3</v>
      </c>
      <c r="AI60" s="31">
        <f t="shared" si="36"/>
        <v>-30.2152590886563</v>
      </c>
      <c r="AJ60" s="31">
        <f t="shared" si="37"/>
        <v>1.2057665168712095</v>
      </c>
      <c r="AK60" s="31">
        <f t="shared" si="12"/>
        <v>0.48869029003683562</v>
      </c>
      <c r="AL60" s="40"/>
      <c r="AM60" s="79">
        <f t="shared" si="13"/>
        <v>35</v>
      </c>
      <c r="AN60" s="79">
        <f t="shared" si="14"/>
        <v>120000</v>
      </c>
      <c r="AO60" s="17"/>
      <c r="AP60" s="68">
        <f t="shared" si="15"/>
        <v>1.1282103896103894E-2</v>
      </c>
      <c r="AQ60" s="68">
        <f t="shared" si="38"/>
        <v>1.1293385999999999E-2</v>
      </c>
      <c r="AR60" s="31">
        <f t="shared" si="39"/>
        <v>3.9960039960038607</v>
      </c>
      <c r="AS60" s="31">
        <f t="shared" si="40"/>
        <v>4.9999999999998934</v>
      </c>
      <c r="AT60" s="31">
        <f t="shared" si="41"/>
        <v>4.2624045015548035E-14</v>
      </c>
      <c r="AU60" s="40"/>
      <c r="AV60" s="82">
        <f t="shared" si="16"/>
        <v>199.72165388603329</v>
      </c>
      <c r="AW60" s="79">
        <f t="shared" si="17"/>
        <v>9000</v>
      </c>
      <c r="AX60" s="18">
        <f t="shared" si="42"/>
        <v>211.04968477493145</v>
      </c>
      <c r="AY60" s="31">
        <f t="shared" si="43"/>
        <v>10.552484238746572</v>
      </c>
      <c r="AZ60" s="31">
        <f t="shared" si="18"/>
        <v>0</v>
      </c>
      <c r="BA60" s="40"/>
      <c r="BB60" s="82">
        <f t="shared" si="19"/>
        <v>92.464945659820685</v>
      </c>
      <c r="BC60" s="79">
        <f t="shared" si="20"/>
        <v>1000.0131620138741</v>
      </c>
      <c r="BD60" s="31">
        <f t="shared" si="44"/>
        <v>0.35231703959423261</v>
      </c>
      <c r="BE60" s="17">
        <f t="shared" si="45"/>
        <v>4.2278044751307923E-3</v>
      </c>
      <c r="BF60" s="31">
        <f t="shared" si="21"/>
        <v>1.0513786129003864E-6</v>
      </c>
      <c r="BG60" s="40"/>
      <c r="BH60" s="80">
        <f t="shared" si="22"/>
        <v>11.818225235506297</v>
      </c>
      <c r="BI60" s="80">
        <f t="shared" si="23"/>
        <v>7.4558584444905165</v>
      </c>
      <c r="BJ60" s="18">
        <f t="shared" si="46"/>
        <v>99476.931495023688</v>
      </c>
      <c r="BK60" s="18">
        <f t="shared" si="47"/>
        <v>69.633852046516594</v>
      </c>
      <c r="BL60" s="31">
        <f t="shared" si="24"/>
        <v>0.44458566241136244</v>
      </c>
      <c r="BN60" s="31"/>
      <c r="BO60" s="31"/>
      <c r="BP60" s="31"/>
      <c r="BQ60" s="31">
        <v>-4.1582898740505859E-14</v>
      </c>
      <c r="BR60" s="31">
        <v>9.9007741459077717E-2</v>
      </c>
      <c r="BS60" s="31">
        <v>6.5609654404534382E-2</v>
      </c>
      <c r="BT60" s="31">
        <v>0.4886902900369583</v>
      </c>
      <c r="BU60" s="31">
        <v>4.2624045015548035E-14</v>
      </c>
      <c r="BV60" s="31">
        <v>0</v>
      </c>
      <c r="BW60" s="31">
        <v>1.0513786129003864E-6</v>
      </c>
      <c r="BX60" s="31">
        <v>0.44458566241136244</v>
      </c>
      <c r="BY60" s="36"/>
      <c r="BZ60" s="36"/>
      <c r="CA60" s="83"/>
      <c r="CB60" s="83"/>
      <c r="CC60" s="83"/>
      <c r="CD60" s="83"/>
      <c r="CE60" s="83"/>
      <c r="CF60" s="83"/>
      <c r="CG60" s="83"/>
      <c r="CI60" s="31"/>
      <c r="CJ60" s="31"/>
    </row>
    <row r="61" spans="1:88" x14ac:dyDescent="0.2">
      <c r="A61" s="87" t="s">
        <v>27</v>
      </c>
      <c r="B61" s="14" t="s">
        <v>42</v>
      </c>
      <c r="C61" s="93">
        <v>8</v>
      </c>
      <c r="D61" s="89" t="s">
        <v>96</v>
      </c>
      <c r="E61" s="94">
        <v>8</v>
      </c>
      <c r="F61" s="88">
        <v>200</v>
      </c>
      <c r="G61" s="79"/>
      <c r="H61" s="36">
        <v>415.66666666667402</v>
      </c>
      <c r="I61" s="79">
        <f t="shared" si="25"/>
        <v>432.01337080748215</v>
      </c>
      <c r="J61" s="79">
        <f t="shared" si="26"/>
        <v>389353.90946502058</v>
      </c>
      <c r="K61" s="80">
        <f t="shared" si="27"/>
        <v>19.286311196762597</v>
      </c>
      <c r="L61" s="68">
        <f t="shared" si="0"/>
        <v>2.1175871723084751E-2</v>
      </c>
      <c r="M61" s="68">
        <f t="shared" si="1"/>
        <v>2.1175871723084751E-2</v>
      </c>
      <c r="N61" s="31">
        <f t="shared" si="2"/>
        <v>-1.6000000000000458</v>
      </c>
      <c r="O61" s="31">
        <f t="shared" si="3"/>
        <v>-1.6000000000000458</v>
      </c>
      <c r="P61" s="31">
        <f t="shared" si="28"/>
        <v>-4.1582898740505859E-14</v>
      </c>
      <c r="Q61" s="40"/>
      <c r="R61" s="81">
        <f t="shared" si="29"/>
        <v>0.37534524008769304</v>
      </c>
      <c r="S61" s="81">
        <f t="shared" si="4"/>
        <v>0.57507857176254851</v>
      </c>
      <c r="T61" s="31">
        <f t="shared" si="5"/>
        <v>7.8726878960086122E-2</v>
      </c>
      <c r="U61" s="54">
        <f t="shared" si="30"/>
        <v>5007.6532068260285</v>
      </c>
      <c r="V61" s="31">
        <f t="shared" si="31"/>
        <v>8.5130104516042486</v>
      </c>
      <c r="W61" s="40"/>
      <c r="X61" s="17">
        <f t="shared" si="6"/>
        <v>12.455475711417197</v>
      </c>
      <c r="Y61" s="17">
        <f t="shared" si="32"/>
        <v>12.443026461368243</v>
      </c>
      <c r="Z61" s="31">
        <f t="shared" si="7"/>
        <v>23.217329692922782</v>
      </c>
      <c r="AA61" s="31">
        <f t="shared" si="33"/>
        <v>22.194623801401249</v>
      </c>
      <c r="AB61" s="31">
        <f t="shared" si="8"/>
        <v>2.4421033574301473E-2</v>
      </c>
      <c r="AC61" s="40"/>
      <c r="AD61" s="79">
        <f t="shared" si="34"/>
        <v>888888.88888888888</v>
      </c>
      <c r="AE61" s="79">
        <f t="shared" si="9"/>
        <v>480000</v>
      </c>
      <c r="AF61" s="31">
        <f t="shared" si="10"/>
        <v>7.8528701168977408E-2</v>
      </c>
      <c r="AG61" s="68">
        <f t="shared" si="11"/>
        <v>2.0044719228980061E-3</v>
      </c>
      <c r="AH61" s="68">
        <f t="shared" si="35"/>
        <v>2.0694168131999017E-3</v>
      </c>
      <c r="AI61" s="31">
        <f t="shared" si="36"/>
        <v>-30.34446454237316</v>
      </c>
      <c r="AJ61" s="31">
        <f t="shared" si="37"/>
        <v>1.0723748064540572</v>
      </c>
      <c r="AK61" s="31">
        <f t="shared" si="12"/>
        <v>0.39632655203853201</v>
      </c>
      <c r="AL61" s="40"/>
      <c r="AM61" s="79">
        <f t="shared" si="13"/>
        <v>35</v>
      </c>
      <c r="AN61" s="79">
        <f t="shared" si="14"/>
        <v>120000</v>
      </c>
      <c r="AO61" s="17"/>
      <c r="AP61" s="68">
        <f t="shared" si="15"/>
        <v>1.1282103896103894E-2</v>
      </c>
      <c r="AQ61" s="68">
        <f t="shared" si="38"/>
        <v>1.1293385999999999E-2</v>
      </c>
      <c r="AR61" s="31">
        <f t="shared" si="39"/>
        <v>3.9960039960038607</v>
      </c>
      <c r="AS61" s="31">
        <f t="shared" si="40"/>
        <v>4.9999999999998934</v>
      </c>
      <c r="AT61" s="31">
        <f t="shared" si="41"/>
        <v>4.2624045015548035E-14</v>
      </c>
      <c r="AU61" s="40"/>
      <c r="AV61" s="82">
        <f t="shared" si="16"/>
        <v>199.72165388603329</v>
      </c>
      <c r="AW61" s="79">
        <f t="shared" si="17"/>
        <v>9000</v>
      </c>
      <c r="AX61" s="18">
        <f t="shared" si="42"/>
        <v>211.04968477493145</v>
      </c>
      <c r="AY61" s="31">
        <f t="shared" si="43"/>
        <v>10.552484238746572</v>
      </c>
      <c r="AZ61" s="31">
        <f t="shared" si="18"/>
        <v>0</v>
      </c>
      <c r="BA61" s="40"/>
      <c r="BB61" s="82">
        <f t="shared" si="19"/>
        <v>92.46375033886757</v>
      </c>
      <c r="BC61" s="79">
        <f t="shared" si="20"/>
        <v>1000.0002345560422</v>
      </c>
      <c r="BD61" s="31">
        <f t="shared" si="44"/>
        <v>0.35231248509050622</v>
      </c>
      <c r="BE61" s="17">
        <f t="shared" si="45"/>
        <v>4.2277498210860753E-3</v>
      </c>
      <c r="BF61" s="31">
        <f t="shared" si="21"/>
        <v>1.8736282201303584E-8</v>
      </c>
      <c r="BG61" s="40"/>
      <c r="BH61" s="80">
        <f t="shared" si="22"/>
        <v>13.00435456315661</v>
      </c>
      <c r="BI61" s="80">
        <f t="shared" si="23"/>
        <v>8.204161356948978</v>
      </c>
      <c r="BJ61" s="18">
        <f t="shared" si="46"/>
        <v>109460.87608227153</v>
      </c>
      <c r="BK61" s="18">
        <f t="shared" si="47"/>
        <v>76.622613257590075</v>
      </c>
      <c r="BL61" s="31">
        <f t="shared" si="24"/>
        <v>0.35071674075316073</v>
      </c>
      <c r="BN61" s="31"/>
      <c r="BO61" s="31"/>
      <c r="BP61" s="31"/>
      <c r="BQ61" s="31">
        <v>-4.1582898740505859E-14</v>
      </c>
      <c r="BR61" s="31">
        <v>5.0330172295331717E-2</v>
      </c>
      <c r="BS61" s="31">
        <v>3.3185746952691685E-2</v>
      </c>
      <c r="BT61" s="31">
        <v>0.39632655203848821</v>
      </c>
      <c r="BU61" s="31">
        <v>4.2624045015548035E-14</v>
      </c>
      <c r="BV61" s="31">
        <v>0</v>
      </c>
      <c r="BW61" s="31">
        <v>1.8736282201303584E-8</v>
      </c>
      <c r="BX61" s="31">
        <v>0.35071674075316073</v>
      </c>
      <c r="BY61" s="36"/>
      <c r="BZ61" s="36"/>
      <c r="CA61" s="83"/>
      <c r="CB61" s="83"/>
      <c r="CC61" s="83"/>
      <c r="CD61" s="83"/>
      <c r="CE61" s="83"/>
      <c r="CF61" s="83"/>
      <c r="CG61" s="83"/>
      <c r="CI61" s="31"/>
      <c r="CJ61" s="31"/>
    </row>
    <row r="62" spans="1:88" x14ac:dyDescent="0.2">
      <c r="A62" s="87" t="s">
        <v>111</v>
      </c>
      <c r="B62" s="14" t="s">
        <v>42</v>
      </c>
      <c r="C62" s="88">
        <v>9000</v>
      </c>
      <c r="D62" s="101" t="s">
        <v>112</v>
      </c>
      <c r="E62" s="88">
        <v>631</v>
      </c>
      <c r="F62" s="88">
        <v>9000</v>
      </c>
      <c r="G62" s="79"/>
      <c r="H62" s="36">
        <v>475.19047619047831</v>
      </c>
      <c r="I62" s="79">
        <f t="shared" si="25"/>
        <v>432.01337080748215</v>
      </c>
      <c r="J62" s="79">
        <f t="shared" si="26"/>
        <v>389353.90946502058</v>
      </c>
      <c r="K62" s="80">
        <f t="shared" si="27"/>
        <v>19.286311196762597</v>
      </c>
      <c r="L62" s="68">
        <f t="shared" si="0"/>
        <v>2.1175871723084751E-2</v>
      </c>
      <c r="M62" s="68">
        <f t="shared" si="1"/>
        <v>2.1175871723084751E-2</v>
      </c>
      <c r="N62" s="31">
        <f t="shared" si="2"/>
        <v>-1.6000000000000458</v>
      </c>
      <c r="O62" s="31">
        <f t="shared" si="3"/>
        <v>-1.6000000000000458</v>
      </c>
      <c r="P62" s="31">
        <f t="shared" si="28"/>
        <v>-4.1582898740505859E-14</v>
      </c>
      <c r="Q62" s="40"/>
      <c r="R62" s="81">
        <f t="shared" si="29"/>
        <v>0.38030790814333454</v>
      </c>
      <c r="S62" s="81">
        <f t="shared" si="4"/>
        <v>0.58268203586110257</v>
      </c>
      <c r="T62" s="31">
        <f t="shared" si="5"/>
        <v>5.4707509281077725E-2</v>
      </c>
      <c r="U62" s="54">
        <f t="shared" si="30"/>
        <v>5073.86244021724</v>
      </c>
      <c r="V62" s="31">
        <f t="shared" si="31"/>
        <v>8.6255661483693054</v>
      </c>
      <c r="W62" s="40"/>
      <c r="X62" s="17">
        <f t="shared" si="6"/>
        <v>12.454596387592133</v>
      </c>
      <c r="Y62" s="17">
        <f t="shared" si="32"/>
        <v>12.442148016427488</v>
      </c>
      <c r="Z62" s="31">
        <f t="shared" si="7"/>
        <v>23.145093240693804</v>
      </c>
      <c r="AA62" s="31">
        <f t="shared" si="33"/>
        <v>22.12245954951819</v>
      </c>
      <c r="AB62" s="31">
        <f t="shared" si="8"/>
        <v>1.5365997112102341E-2</v>
      </c>
      <c r="AC62" s="40"/>
      <c r="AD62" s="79">
        <f t="shared" si="34"/>
        <v>888888.88888888888</v>
      </c>
      <c r="AE62" s="79">
        <f t="shared" si="9"/>
        <v>480000</v>
      </c>
      <c r="AF62" s="31">
        <f t="shared" si="10"/>
        <v>5.4550102629449961E-2</v>
      </c>
      <c r="AG62" s="68">
        <f t="shared" si="11"/>
        <v>2.0043296628078516E-3</v>
      </c>
      <c r="AH62" s="68">
        <f t="shared" si="35"/>
        <v>2.0692699438828264E-3</v>
      </c>
      <c r="AI62" s="31">
        <f t="shared" si="36"/>
        <v>-30.413282310443268</v>
      </c>
      <c r="AJ62" s="31">
        <f t="shared" si="37"/>
        <v>1.0013273426985325</v>
      </c>
      <c r="AK62" s="31">
        <f t="shared" si="12"/>
        <v>0.34713152104869432</v>
      </c>
      <c r="AL62" s="40"/>
      <c r="AM62" s="79">
        <f t="shared" si="13"/>
        <v>35</v>
      </c>
      <c r="AN62" s="79">
        <f t="shared" si="14"/>
        <v>120000</v>
      </c>
      <c r="AO62" s="17"/>
      <c r="AP62" s="68">
        <f t="shared" si="15"/>
        <v>1.1282103896103894E-2</v>
      </c>
      <c r="AQ62" s="68">
        <f t="shared" si="38"/>
        <v>1.1293385999999999E-2</v>
      </c>
      <c r="AR62" s="31">
        <f t="shared" si="39"/>
        <v>3.9960039960038607</v>
      </c>
      <c r="AS62" s="31">
        <f t="shared" si="40"/>
        <v>4.9999999999998934</v>
      </c>
      <c r="AT62" s="31">
        <f t="shared" si="41"/>
        <v>4.2624045015548035E-14</v>
      </c>
      <c r="AU62" s="40"/>
      <c r="AV62" s="82">
        <f t="shared" si="16"/>
        <v>199.72165388603329</v>
      </c>
      <c r="AW62" s="79">
        <f t="shared" si="17"/>
        <v>9000</v>
      </c>
      <c r="AX62" s="18">
        <f t="shared" si="42"/>
        <v>211.04968477493145</v>
      </c>
      <c r="AY62" s="31">
        <f t="shared" si="43"/>
        <v>10.552484238746572</v>
      </c>
      <c r="AZ62" s="31">
        <f t="shared" si="18"/>
        <v>0</v>
      </c>
      <c r="BA62" s="40"/>
      <c r="BB62" s="82">
        <f t="shared" si="19"/>
        <v>92.463730347855673</v>
      </c>
      <c r="BC62" s="79">
        <f t="shared" si="20"/>
        <v>1000.0000183522162</v>
      </c>
      <c r="BD62" s="31">
        <f t="shared" si="44"/>
        <v>0.35231240891921689</v>
      </c>
      <c r="BE62" s="17">
        <f t="shared" si="45"/>
        <v>4.2277489070306033E-3</v>
      </c>
      <c r="BF62" s="31">
        <f t="shared" si="21"/>
        <v>1.4659707711500455E-9</v>
      </c>
      <c r="BG62" s="40"/>
      <c r="BH62" s="80">
        <f t="shared" si="22"/>
        <v>13.621811737523384</v>
      </c>
      <c r="BI62" s="80">
        <f t="shared" si="23"/>
        <v>8.5937015117416475</v>
      </c>
      <c r="BJ62" s="18">
        <f t="shared" si="46"/>
        <v>114658.16618392382</v>
      </c>
      <c r="BK62" s="18">
        <f t="shared" si="47"/>
        <v>80.260716328746682</v>
      </c>
      <c r="BL62" s="31">
        <f t="shared" si="24"/>
        <v>0.30185188447079708</v>
      </c>
      <c r="BN62" s="31"/>
      <c r="BO62" s="31"/>
      <c r="BP62" s="31"/>
      <c r="BQ62" s="31">
        <v>-4.1582898740505859E-14</v>
      </c>
      <c r="BR62" s="31">
        <v>3.2804179201000754E-2</v>
      </c>
      <c r="BS62" s="31">
        <v>2.1645533673746123E-2</v>
      </c>
      <c r="BT62" s="31">
        <v>0.34713152104871092</v>
      </c>
      <c r="BU62" s="31">
        <v>4.2624045015548035E-14</v>
      </c>
      <c r="BV62" s="31">
        <v>0</v>
      </c>
      <c r="BW62" s="31">
        <v>1.4659707711500455E-9</v>
      </c>
      <c r="BX62" s="31">
        <v>0.30185188447079708</v>
      </c>
      <c r="BY62" s="36"/>
      <c r="BZ62" s="36"/>
      <c r="CA62" s="83"/>
      <c r="CB62" s="83"/>
      <c r="CC62" s="83"/>
      <c r="CD62" s="83"/>
      <c r="CE62" s="83"/>
      <c r="CF62" s="83"/>
      <c r="CG62" s="83"/>
      <c r="CI62" s="31"/>
      <c r="CJ62" s="31"/>
    </row>
    <row r="63" spans="1:88" ht="17" x14ac:dyDescent="0.2">
      <c r="A63" s="102" t="s">
        <v>29</v>
      </c>
      <c r="B63" s="14" t="s">
        <v>113</v>
      </c>
      <c r="C63" s="94">
        <v>15.2</v>
      </c>
      <c r="D63" s="89" t="s">
        <v>96</v>
      </c>
      <c r="E63" s="94">
        <v>15.2</v>
      </c>
      <c r="F63" s="94">
        <v>211</v>
      </c>
      <c r="G63" s="79"/>
      <c r="H63" s="36">
        <v>554.55555555554815</v>
      </c>
      <c r="I63" s="79">
        <f t="shared" si="25"/>
        <v>432.01337080748215</v>
      </c>
      <c r="J63" s="79">
        <f t="shared" si="26"/>
        <v>389353.90946502058</v>
      </c>
      <c r="K63" s="80">
        <f t="shared" si="27"/>
        <v>19.286311196762597</v>
      </c>
      <c r="L63" s="68">
        <f t="shared" si="0"/>
        <v>2.1175871723084751E-2</v>
      </c>
      <c r="M63" s="68">
        <f t="shared" si="1"/>
        <v>2.1175871723084751E-2</v>
      </c>
      <c r="N63" s="31">
        <f t="shared" si="2"/>
        <v>-1.6000000000000458</v>
      </c>
      <c r="O63" s="31">
        <f t="shared" si="3"/>
        <v>-1.6000000000000458</v>
      </c>
      <c r="P63" s="31">
        <f t="shared" si="28"/>
        <v>-4.1582898740505859E-14</v>
      </c>
      <c r="Q63" s="40"/>
      <c r="R63" s="81">
        <f t="shared" si="29"/>
        <v>0.38465391885272704</v>
      </c>
      <c r="S63" s="81">
        <f t="shared" si="4"/>
        <v>0.58934069931195188</v>
      </c>
      <c r="T63" s="31">
        <f t="shared" si="5"/>
        <v>3.3672768152430005E-2</v>
      </c>
      <c r="U63" s="54">
        <f t="shared" si="30"/>
        <v>5131.8445647826256</v>
      </c>
      <c r="V63" s="31">
        <f t="shared" si="31"/>
        <v>8.7241357601304621</v>
      </c>
      <c r="W63" s="40"/>
      <c r="X63" s="17">
        <f t="shared" si="6"/>
        <v>12.453903416091258</v>
      </c>
      <c r="Y63" s="17">
        <f t="shared" si="32"/>
        <v>12.441455737551744</v>
      </c>
      <c r="Z63" s="31">
        <f t="shared" si="7"/>
        <v>23.088165631896864</v>
      </c>
      <c r="AA63" s="31">
        <f t="shared" si="33"/>
        <v>22.065588839875751</v>
      </c>
      <c r="AB63" s="31">
        <f t="shared" si="8"/>
        <v>8.2299659608580742E-3</v>
      </c>
      <c r="AC63" s="40"/>
      <c r="AD63" s="79">
        <f t="shared" si="34"/>
        <v>888888.88888888888</v>
      </c>
      <c r="AE63" s="79">
        <f t="shared" si="9"/>
        <v>480000</v>
      </c>
      <c r="AF63" s="31">
        <f t="shared" si="10"/>
        <v>3.3559729272746461E-2</v>
      </c>
      <c r="AG63" s="68">
        <f t="shared" si="11"/>
        <v>2.0041670642705952E-3</v>
      </c>
      <c r="AH63" s="68">
        <f t="shared" si="35"/>
        <v>2.069102077152963E-3</v>
      </c>
      <c r="AI63" s="31">
        <f t="shared" si="36"/>
        <v>-30.491938723589797</v>
      </c>
      <c r="AJ63" s="31">
        <f t="shared" si="37"/>
        <v>0.92012246176609302</v>
      </c>
      <c r="AK63" s="31">
        <f t="shared" si="12"/>
        <v>0.29090324177128252</v>
      </c>
      <c r="AL63" s="40"/>
      <c r="AM63" s="79">
        <f t="shared" si="13"/>
        <v>35</v>
      </c>
      <c r="AN63" s="79">
        <f t="shared" si="14"/>
        <v>120000</v>
      </c>
      <c r="AO63" s="17"/>
      <c r="AP63" s="68">
        <f t="shared" si="15"/>
        <v>1.1282103896103894E-2</v>
      </c>
      <c r="AQ63" s="68">
        <f t="shared" si="38"/>
        <v>1.1293385999999999E-2</v>
      </c>
      <c r="AR63" s="31">
        <f t="shared" si="39"/>
        <v>3.9960039960038607</v>
      </c>
      <c r="AS63" s="31">
        <f t="shared" si="40"/>
        <v>4.9999999999998934</v>
      </c>
      <c r="AT63" s="31">
        <f t="shared" si="41"/>
        <v>4.2624045015548035E-14</v>
      </c>
      <c r="AU63" s="40"/>
      <c r="AV63" s="82">
        <f t="shared" si="16"/>
        <v>199.72165388603329</v>
      </c>
      <c r="AW63" s="79">
        <f t="shared" si="17"/>
        <v>9000</v>
      </c>
      <c r="AX63" s="18">
        <f t="shared" si="42"/>
        <v>211.04968477493145</v>
      </c>
      <c r="AY63" s="31">
        <f t="shared" si="43"/>
        <v>10.552484238746572</v>
      </c>
      <c r="AZ63" s="31">
        <f t="shared" si="18"/>
        <v>0</v>
      </c>
      <c r="BA63" s="40"/>
      <c r="BB63" s="82">
        <f t="shared" si="19"/>
        <v>92.463728707728364</v>
      </c>
      <c r="BC63" s="79">
        <f t="shared" si="20"/>
        <v>1000.0000006141546</v>
      </c>
      <c r="BD63" s="31">
        <f t="shared" si="44"/>
        <v>0.3523124026698779</v>
      </c>
      <c r="BE63" s="17">
        <f t="shared" si="45"/>
        <v>4.2277488320385343E-3</v>
      </c>
      <c r="BF63" s="31">
        <f t="shared" si="21"/>
        <v>4.9058526957489191E-11</v>
      </c>
      <c r="BG63" s="40"/>
      <c r="BH63" s="80">
        <f t="shared" si="22"/>
        <v>14.31338664268092</v>
      </c>
      <c r="BI63" s="80">
        <f t="shared" si="23"/>
        <v>9.0300009132055123</v>
      </c>
      <c r="BJ63" s="18">
        <f t="shared" si="46"/>
        <v>120479.32359911218</v>
      </c>
      <c r="BK63" s="18">
        <f t="shared" si="47"/>
        <v>84.335526519378547</v>
      </c>
      <c r="BL63" s="31">
        <f t="shared" si="24"/>
        <v>0.24712143553938892</v>
      </c>
      <c r="BN63" s="31"/>
      <c r="BO63" s="31"/>
      <c r="BP63" s="31"/>
      <c r="BQ63" s="31">
        <v>-4.1582898740505859E-14</v>
      </c>
      <c r="BR63" s="31">
        <v>1.85380274290044E-2</v>
      </c>
      <c r="BS63" s="31">
        <v>1.2252227065686735E-2</v>
      </c>
      <c r="BT63" s="31">
        <v>0.29090324177139409</v>
      </c>
      <c r="BU63" s="31">
        <v>4.2624045015548035E-14</v>
      </c>
      <c r="BV63" s="31">
        <v>0</v>
      </c>
      <c r="BW63" s="31">
        <v>4.9058526957489191E-11</v>
      </c>
      <c r="BX63" s="31">
        <v>0.24712143553938892</v>
      </c>
      <c r="BY63" s="36"/>
      <c r="BZ63" s="36"/>
      <c r="CA63" s="83"/>
      <c r="CB63" s="83"/>
      <c r="CC63" s="83"/>
      <c r="CD63" s="83"/>
      <c r="CE63" s="83"/>
      <c r="CF63" s="83"/>
      <c r="CG63" s="83"/>
      <c r="CI63" s="31"/>
      <c r="CJ63" s="31"/>
    </row>
    <row r="64" spans="1:88" ht="17" x14ac:dyDescent="0.2">
      <c r="A64" s="103" t="s">
        <v>30</v>
      </c>
      <c r="B64" s="96" t="s">
        <v>113</v>
      </c>
      <c r="C64" s="99">
        <v>10.6</v>
      </c>
      <c r="D64" s="104" t="s">
        <v>112</v>
      </c>
      <c r="E64" s="99">
        <v>0.8</v>
      </c>
      <c r="F64" s="99">
        <v>10.6</v>
      </c>
      <c r="G64" s="79"/>
      <c r="H64" s="36">
        <v>665.66666666669073</v>
      </c>
      <c r="I64" s="79">
        <f t="shared" si="25"/>
        <v>432.01337080748215</v>
      </c>
      <c r="J64" s="79">
        <f t="shared" si="26"/>
        <v>389353.90946502058</v>
      </c>
      <c r="K64" s="80">
        <f t="shared" si="27"/>
        <v>19.286311196762597</v>
      </c>
      <c r="L64" s="68">
        <f t="shared" si="0"/>
        <v>2.1175871723084751E-2</v>
      </c>
      <c r="M64" s="68">
        <f t="shared" si="1"/>
        <v>2.1175871723084751E-2</v>
      </c>
      <c r="N64" s="31">
        <f t="shared" si="2"/>
        <v>-1.6000000000000458</v>
      </c>
      <c r="O64" s="31">
        <f t="shared" si="3"/>
        <v>-1.6000000000000458</v>
      </c>
      <c r="P64" s="31">
        <f t="shared" si="28"/>
        <v>-4.1582898740505859E-14</v>
      </c>
      <c r="Q64" s="40"/>
      <c r="R64" s="81">
        <f t="shared" si="29"/>
        <v>0.38808447902006582</v>
      </c>
      <c r="S64" s="81">
        <f t="shared" si="4"/>
        <v>0.59459677140418821</v>
      </c>
      <c r="T64" s="31">
        <f t="shared" si="5"/>
        <v>1.7068818030938415E-2</v>
      </c>
      <c r="U64" s="54">
        <f t="shared" si="30"/>
        <v>5177.6132432908971</v>
      </c>
      <c r="V64" s="31">
        <f t="shared" si="31"/>
        <v>8.8019425135945255</v>
      </c>
      <c r="W64" s="40"/>
      <c r="X64" s="17">
        <f t="shared" si="6"/>
        <v>12.453429245524953</v>
      </c>
      <c r="Y64" s="17">
        <f t="shared" si="32"/>
        <v>12.440982040918998</v>
      </c>
      <c r="Z64" s="31">
        <f t="shared" si="7"/>
        <v>23.049212519874906</v>
      </c>
      <c r="AA64" s="31">
        <f t="shared" si="33"/>
        <v>22.026674661495662</v>
      </c>
      <c r="AB64" s="31">
        <f t="shared" si="8"/>
        <v>3.3470870432014206E-3</v>
      </c>
      <c r="AC64" s="40"/>
      <c r="AD64" s="79">
        <f t="shared" si="34"/>
        <v>888888.88888888888</v>
      </c>
      <c r="AE64" s="79">
        <f t="shared" si="9"/>
        <v>480000</v>
      </c>
      <c r="AF64" s="31">
        <f t="shared" si="10"/>
        <v>1.7000060857881565E-2</v>
      </c>
      <c r="AG64" s="68">
        <f t="shared" si="11"/>
        <v>2.0039826934700722E-3</v>
      </c>
      <c r="AH64" s="68">
        <f t="shared" si="35"/>
        <v>2.0689117327385028E-3</v>
      </c>
      <c r="AI64" s="31">
        <f t="shared" si="36"/>
        <v>-30.58112738483343</v>
      </c>
      <c r="AJ64" s="31">
        <f t="shared" si="37"/>
        <v>0.82804408789804995</v>
      </c>
      <c r="AK64" s="31">
        <f t="shared" si="12"/>
        <v>0.22714588554081472</v>
      </c>
      <c r="AL64" s="40"/>
      <c r="AM64" s="79">
        <f t="shared" si="13"/>
        <v>35</v>
      </c>
      <c r="AN64" s="79">
        <f t="shared" si="14"/>
        <v>120000</v>
      </c>
      <c r="AO64" s="17"/>
      <c r="AP64" s="68">
        <f t="shared" si="15"/>
        <v>1.1282103896103894E-2</v>
      </c>
      <c r="AQ64" s="68">
        <f t="shared" si="38"/>
        <v>1.1293385999999999E-2</v>
      </c>
      <c r="AR64" s="31">
        <f t="shared" si="39"/>
        <v>3.9960039960038607</v>
      </c>
      <c r="AS64" s="31">
        <f t="shared" si="40"/>
        <v>4.9999999999998934</v>
      </c>
      <c r="AT64" s="31">
        <f t="shared" si="41"/>
        <v>4.2624045015548035E-14</v>
      </c>
      <c r="AU64" s="40"/>
      <c r="AV64" s="82">
        <f t="shared" si="16"/>
        <v>199.72165388603329</v>
      </c>
      <c r="AW64" s="79">
        <f t="shared" si="17"/>
        <v>9000</v>
      </c>
      <c r="AX64" s="18">
        <f t="shared" si="42"/>
        <v>211.04968477493145</v>
      </c>
      <c r="AY64" s="31">
        <f t="shared" si="43"/>
        <v>10.552484238746572</v>
      </c>
      <c r="AZ64" s="31">
        <f t="shared" si="18"/>
        <v>0</v>
      </c>
      <c r="BA64" s="40"/>
      <c r="BB64" s="82">
        <f t="shared" si="19"/>
        <v>92.463728651429619</v>
      </c>
      <c r="BC64" s="79">
        <f t="shared" si="20"/>
        <v>1000.0000000052809</v>
      </c>
      <c r="BD64" s="31">
        <f t="shared" si="44"/>
        <v>0.35231240245536399</v>
      </c>
      <c r="BE64" s="17">
        <f t="shared" si="45"/>
        <v>4.2277488294643686E-3</v>
      </c>
      <c r="BF64" s="31">
        <f t="shared" si="21"/>
        <v>4.2183445397172177E-13</v>
      </c>
      <c r="BG64" s="40"/>
      <c r="BH64" s="80">
        <f t="shared" si="22"/>
        <v>15.076170814386645</v>
      </c>
      <c r="BI64" s="80">
        <f t="shared" si="23"/>
        <v>9.5112246752006175</v>
      </c>
      <c r="BJ64" s="18">
        <f t="shared" si="46"/>
        <v>126899.86706331097</v>
      </c>
      <c r="BK64" s="18">
        <f t="shared" si="47"/>
        <v>88.829906944317671</v>
      </c>
      <c r="BL64" s="31">
        <f t="shared" si="24"/>
        <v>0.18675556650063765</v>
      </c>
      <c r="BN64" s="31"/>
      <c r="BO64" s="31"/>
      <c r="BP64" s="31"/>
      <c r="BQ64" s="31">
        <v>-4.1582898740505859E-14</v>
      </c>
      <c r="BR64" s="31">
        <v>8.3378024882680927E-3</v>
      </c>
      <c r="BS64" s="31">
        <v>5.5001241027066248E-3</v>
      </c>
      <c r="BT64" s="31">
        <v>0.22714588554071624</v>
      </c>
      <c r="BU64" s="31">
        <v>4.2624045015548035E-14</v>
      </c>
      <c r="BV64" s="31">
        <v>0</v>
      </c>
      <c r="BW64" s="31">
        <v>4.2183445397172177E-13</v>
      </c>
      <c r="BX64" s="31">
        <v>0.18675556650063765</v>
      </c>
      <c r="BY64" s="36"/>
      <c r="BZ64" s="36"/>
      <c r="CA64" s="83"/>
      <c r="CB64" s="83"/>
      <c r="CC64" s="83"/>
      <c r="CD64" s="83"/>
      <c r="CE64" s="83"/>
      <c r="CF64" s="83"/>
      <c r="CG64" s="83"/>
      <c r="CI64" s="31"/>
      <c r="CJ64" s="31"/>
    </row>
    <row r="65" spans="1:88" x14ac:dyDescent="0.2">
      <c r="A65" s="87" t="s">
        <v>31</v>
      </c>
      <c r="B65" s="14" t="s">
        <v>42</v>
      </c>
      <c r="C65" s="93">
        <v>1250</v>
      </c>
      <c r="D65" s="89" t="s">
        <v>96</v>
      </c>
      <c r="E65" s="88">
        <v>1250</v>
      </c>
      <c r="F65" s="88">
        <v>92</v>
      </c>
      <c r="G65" s="79"/>
      <c r="H65" s="36">
        <v>832.33333333334804</v>
      </c>
      <c r="I65" s="79">
        <f t="shared" si="25"/>
        <v>432.01337080748215</v>
      </c>
      <c r="J65" s="79">
        <f t="shared" si="26"/>
        <v>389353.90946502058</v>
      </c>
      <c r="K65" s="80">
        <f t="shared" si="27"/>
        <v>19.286311196762597</v>
      </c>
      <c r="L65" s="68">
        <f t="shared" si="0"/>
        <v>2.1175871723084751E-2</v>
      </c>
      <c r="M65" s="68">
        <f t="shared" si="1"/>
        <v>2.1175871723084751E-2</v>
      </c>
      <c r="N65" s="31">
        <f t="shared" si="2"/>
        <v>-1.6000000000000458</v>
      </c>
      <c r="O65" s="31">
        <f t="shared" si="3"/>
        <v>-1.6000000000000458</v>
      </c>
      <c r="P65" s="31">
        <f t="shared" si="28"/>
        <v>-4.1582898740505859E-14</v>
      </c>
      <c r="Q65" s="40"/>
      <c r="R65" s="81">
        <f t="shared" si="29"/>
        <v>0.39033833339636081</v>
      </c>
      <c r="S65" s="81">
        <f t="shared" si="4"/>
        <v>0.59804997452827124</v>
      </c>
      <c r="T65" s="31">
        <f t="shared" si="5"/>
        <v>6.1601372850359623E-3</v>
      </c>
      <c r="U65" s="54">
        <f t="shared" si="30"/>
        <v>5207.6829494966714</v>
      </c>
      <c r="V65" s="31">
        <f t="shared" si="31"/>
        <v>8.8530610141443429</v>
      </c>
      <c r="W65" s="40"/>
      <c r="X65" s="17">
        <f t="shared" si="6"/>
        <v>12.453179705013081</v>
      </c>
      <c r="Y65" s="17">
        <f t="shared" si="32"/>
        <v>12.44073274982291</v>
      </c>
      <c r="Z65" s="31">
        <f t="shared" si="7"/>
        <v>23.028712766824722</v>
      </c>
      <c r="AA65" s="31">
        <f t="shared" si="33"/>
        <v>22.006195397952013</v>
      </c>
      <c r="AB65" s="31">
        <f t="shared" si="8"/>
        <v>7.7738704260960512E-4</v>
      </c>
      <c r="AC65" s="40"/>
      <c r="AD65" s="79">
        <f t="shared" si="34"/>
        <v>888888.88888888888</v>
      </c>
      <c r="AE65" s="79">
        <f t="shared" si="9"/>
        <v>480000</v>
      </c>
      <c r="AF65" s="31">
        <f t="shared" si="10"/>
        <v>6.1291255440654039E-3</v>
      </c>
      <c r="AG65" s="68">
        <f t="shared" si="11"/>
        <v>2.0037790544728032E-3</v>
      </c>
      <c r="AH65" s="68">
        <f t="shared" si="35"/>
        <v>2.0687014958377221E-3</v>
      </c>
      <c r="AI65" s="31">
        <f t="shared" si="36"/>
        <v>-30.679636961685741</v>
      </c>
      <c r="AJ65" s="31">
        <f t="shared" si="37"/>
        <v>0.7263428007555639</v>
      </c>
      <c r="AK65" s="31">
        <f t="shared" si="12"/>
        <v>0.15672538481897261</v>
      </c>
      <c r="AL65" s="40"/>
      <c r="AM65" s="79">
        <f t="shared" si="13"/>
        <v>35</v>
      </c>
      <c r="AN65" s="79">
        <f t="shared" si="14"/>
        <v>120000</v>
      </c>
      <c r="AO65" s="17"/>
      <c r="AP65" s="68">
        <f t="shared" si="15"/>
        <v>1.1282103896103894E-2</v>
      </c>
      <c r="AQ65" s="68">
        <f t="shared" si="38"/>
        <v>1.1293385999999999E-2</v>
      </c>
      <c r="AR65" s="31">
        <f t="shared" si="39"/>
        <v>3.9960039960038607</v>
      </c>
      <c r="AS65" s="31">
        <f t="shared" si="40"/>
        <v>4.9999999999998934</v>
      </c>
      <c r="AT65" s="31">
        <f t="shared" si="41"/>
        <v>4.2624045015548035E-14</v>
      </c>
      <c r="AU65" s="40"/>
      <c r="AV65" s="82">
        <f t="shared" si="16"/>
        <v>199.72165388603329</v>
      </c>
      <c r="AW65" s="79">
        <f t="shared" si="17"/>
        <v>9000</v>
      </c>
      <c r="AX65" s="18">
        <f t="shared" si="42"/>
        <v>211.04968477493145</v>
      </c>
      <c r="AY65" s="31">
        <f t="shared" si="43"/>
        <v>10.552484238746572</v>
      </c>
      <c r="AZ65" s="31">
        <f t="shared" si="18"/>
        <v>0</v>
      </c>
      <c r="BA65" s="40"/>
      <c r="BB65" s="82">
        <f t="shared" si="19"/>
        <v>92.463728650941718</v>
      </c>
      <c r="BC65" s="79">
        <f t="shared" si="20"/>
        <v>1000.0000000000042</v>
      </c>
      <c r="BD65" s="31">
        <f t="shared" si="44"/>
        <v>0.35231240245350498</v>
      </c>
      <c r="BE65" s="17">
        <f t="shared" si="45"/>
        <v>4.227748829442061E-3</v>
      </c>
      <c r="BF65" s="31">
        <f t="shared" si="21"/>
        <v>3.3600729364176671E-16</v>
      </c>
      <c r="BG65" s="40"/>
      <c r="BH65" s="80">
        <f t="shared" si="22"/>
        <v>15.885671961088516</v>
      </c>
      <c r="BI65" s="80">
        <f t="shared" si="23"/>
        <v>10.021921149518011</v>
      </c>
      <c r="BJ65" s="18">
        <f t="shared" si="46"/>
        <v>133713.63888699168</v>
      </c>
      <c r="BK65" s="18">
        <f t="shared" si="47"/>
        <v>93.599547220894181</v>
      </c>
      <c r="BL65" s="31">
        <f t="shared" si="24"/>
        <v>0.12269256936312441</v>
      </c>
      <c r="BN65" s="31"/>
      <c r="BO65" s="31"/>
      <c r="BP65" s="31"/>
      <c r="BQ65" s="31">
        <v>-4.1582898740505859E-14</v>
      </c>
      <c r="BR65" s="31">
        <v>2.5149753165135537E-3</v>
      </c>
      <c r="BS65" s="31">
        <v>1.6178492872695465E-3</v>
      </c>
      <c r="BT65" s="31">
        <v>0.15672538481911902</v>
      </c>
      <c r="BU65" s="31">
        <v>4.2624045015548035E-14</v>
      </c>
      <c r="BV65" s="31">
        <v>0</v>
      </c>
      <c r="BW65" s="31">
        <v>3.3600729364176671E-16</v>
      </c>
      <c r="BX65" s="31">
        <v>0.12269256936312441</v>
      </c>
      <c r="BY65" s="36"/>
      <c r="BZ65" s="36"/>
      <c r="CA65" s="83"/>
      <c r="CB65" s="83"/>
      <c r="CC65" s="83"/>
      <c r="CD65" s="83"/>
      <c r="CE65" s="83"/>
      <c r="CF65" s="83"/>
      <c r="CG65" s="83"/>
      <c r="CI65" s="31"/>
      <c r="CJ65" s="31"/>
    </row>
    <row r="66" spans="1:88" x14ac:dyDescent="0.2">
      <c r="A66" s="87" t="s">
        <v>114</v>
      </c>
      <c r="B66" s="14" t="s">
        <v>42</v>
      </c>
      <c r="C66" s="93">
        <v>1000</v>
      </c>
      <c r="D66" s="101" t="s">
        <v>112</v>
      </c>
      <c r="E66" s="88">
        <v>13519</v>
      </c>
      <c r="F66" s="88">
        <v>1000</v>
      </c>
      <c r="G66" s="79"/>
      <c r="H66" s="36">
        <v>1110.1111111110963</v>
      </c>
      <c r="I66" s="79">
        <f t="shared" si="25"/>
        <v>432.01337080748215</v>
      </c>
      <c r="J66" s="79">
        <f t="shared" si="26"/>
        <v>389353.90946502058</v>
      </c>
      <c r="K66" s="80">
        <f t="shared" si="27"/>
        <v>19.286311196762597</v>
      </c>
      <c r="L66" s="68">
        <f t="shared" si="0"/>
        <v>2.1175871723084751E-2</v>
      </c>
      <c r="M66" s="68">
        <f t="shared" si="1"/>
        <v>2.1175871723084751E-2</v>
      </c>
      <c r="N66" s="31">
        <f t="shared" si="2"/>
        <v>-1.6000000000000458</v>
      </c>
      <c r="O66" s="31">
        <f t="shared" si="3"/>
        <v>-1.6000000000000458</v>
      </c>
      <c r="P66" s="31">
        <f t="shared" si="28"/>
        <v>-4.1582898740505859E-14</v>
      </c>
      <c r="Q66" s="40"/>
      <c r="R66" s="81">
        <f t="shared" si="29"/>
        <v>0.39137824712769775</v>
      </c>
      <c r="S66" s="81">
        <f t="shared" si="4"/>
        <v>0.59964325996126033</v>
      </c>
      <c r="T66" s="31">
        <f t="shared" si="5"/>
        <v>1.126943030009282E-3</v>
      </c>
      <c r="U66" s="54">
        <f t="shared" si="30"/>
        <v>5221.5569161156027</v>
      </c>
      <c r="V66" s="31">
        <f t="shared" si="31"/>
        <v>8.8766467573965269</v>
      </c>
      <c r="W66" s="40"/>
      <c r="X66" s="17">
        <f t="shared" si="6"/>
        <v>12.453105496205657</v>
      </c>
      <c r="Y66" s="17">
        <f t="shared" si="32"/>
        <v>12.440658615187202</v>
      </c>
      <c r="Z66" s="31">
        <f t="shared" si="7"/>
        <v>23.022616513294736</v>
      </c>
      <c r="AA66" s="31">
        <f t="shared" si="33"/>
        <v>22.000105237628631</v>
      </c>
      <c r="AB66" s="31">
        <f t="shared" si="8"/>
        <v>1.3205022418841138E-5</v>
      </c>
      <c r="AC66" s="40"/>
      <c r="AD66" s="79">
        <f t="shared" si="34"/>
        <v>888888.88888888888</v>
      </c>
      <c r="AE66" s="79">
        <f t="shared" si="9"/>
        <v>480000</v>
      </c>
      <c r="AF66" s="31">
        <f t="shared" si="10"/>
        <v>1.1193826871968861E-3</v>
      </c>
      <c r="AG66" s="68">
        <f t="shared" si="11"/>
        <v>2.0035700125092199E-3</v>
      </c>
      <c r="AH66" s="68">
        <f t="shared" si="35"/>
        <v>2.0684856809145189E-3</v>
      </c>
      <c r="AI66" s="31">
        <f t="shared" si="36"/>
        <v>-30.780760202583245</v>
      </c>
      <c r="AJ66" s="31">
        <f t="shared" si="37"/>
        <v>0.62194316685326712</v>
      </c>
      <c r="AK66" s="31">
        <f t="shared" si="12"/>
        <v>8.4436481687622994E-2</v>
      </c>
      <c r="AL66" s="40"/>
      <c r="AM66" s="79">
        <f t="shared" si="13"/>
        <v>35</v>
      </c>
      <c r="AN66" s="79">
        <f t="shared" si="14"/>
        <v>120000</v>
      </c>
      <c r="AO66" s="17"/>
      <c r="AP66" s="68">
        <f t="shared" si="15"/>
        <v>1.1282103896103894E-2</v>
      </c>
      <c r="AQ66" s="68">
        <f t="shared" si="38"/>
        <v>1.1293385999999999E-2</v>
      </c>
      <c r="AR66" s="31">
        <f t="shared" si="39"/>
        <v>3.9960039960038607</v>
      </c>
      <c r="AS66" s="31">
        <f t="shared" si="40"/>
        <v>4.9999999999998934</v>
      </c>
      <c r="AT66" s="31">
        <f t="shared" si="41"/>
        <v>4.2624045015548035E-14</v>
      </c>
      <c r="AU66" s="40"/>
      <c r="AV66" s="82">
        <f t="shared" si="16"/>
        <v>199.72165388603329</v>
      </c>
      <c r="AW66" s="79">
        <f t="shared" si="17"/>
        <v>9000</v>
      </c>
      <c r="AX66" s="18">
        <f t="shared" si="42"/>
        <v>211.04968477493145</v>
      </c>
      <c r="AY66" s="31">
        <f t="shared" si="43"/>
        <v>10.552484238746572</v>
      </c>
      <c r="AZ66" s="31">
        <f t="shared" si="18"/>
        <v>0</v>
      </c>
      <c r="BA66" s="40"/>
      <c r="BB66" s="82">
        <f t="shared" si="19"/>
        <v>92.463728650941334</v>
      </c>
      <c r="BC66" s="79">
        <f t="shared" si="20"/>
        <v>1000</v>
      </c>
      <c r="BD66" s="31">
        <f t="shared" si="44"/>
        <v>0.35231240245350348</v>
      </c>
      <c r="BE66" s="17">
        <f t="shared" si="45"/>
        <v>4.2277488294420427E-3</v>
      </c>
      <c r="BF66" s="31">
        <f t="shared" si="21"/>
        <v>0</v>
      </c>
      <c r="BG66" s="40"/>
      <c r="BH66" s="80">
        <f t="shared" si="22"/>
        <v>16.666291113232337</v>
      </c>
      <c r="BI66" s="80">
        <f t="shared" si="23"/>
        <v>10.514396608519803</v>
      </c>
      <c r="BJ66" s="18">
        <f t="shared" si="46"/>
        <v>140284.30380275368</v>
      </c>
      <c r="BK66" s="18">
        <f t="shared" si="47"/>
        <v>98.199012661927569</v>
      </c>
      <c r="BL66" s="31">
        <f t="shared" si="24"/>
        <v>6.0915260321590677E-2</v>
      </c>
      <c r="BN66" s="31"/>
      <c r="BO66" s="31"/>
      <c r="BP66" s="31"/>
      <c r="BQ66" s="31">
        <v>-4.1582898740505859E-14</v>
      </c>
      <c r="BR66" s="31">
        <v>3.4119600194234222E-4</v>
      </c>
      <c r="BS66" s="31">
        <v>1.8671304863684393E-4</v>
      </c>
      <c r="BT66" s="31">
        <v>8.4436481687586218E-2</v>
      </c>
      <c r="BU66" s="31">
        <v>4.2624045015548035E-14</v>
      </c>
      <c r="BV66" s="31">
        <v>0</v>
      </c>
      <c r="BW66" s="31">
        <v>0</v>
      </c>
      <c r="BX66" s="31">
        <v>6.0915260321590677E-2</v>
      </c>
      <c r="BY66" s="36"/>
      <c r="BZ66" s="36"/>
      <c r="CA66" s="83"/>
      <c r="CB66" s="83"/>
      <c r="CC66" s="83"/>
      <c r="CD66" s="83"/>
      <c r="CE66" s="83"/>
      <c r="CF66" s="83"/>
      <c r="CG66" s="83"/>
      <c r="CI66" s="31"/>
      <c r="CJ66" s="31"/>
    </row>
    <row r="67" spans="1:88" ht="17" x14ac:dyDescent="0.2">
      <c r="A67" s="102" t="s">
        <v>33</v>
      </c>
      <c r="B67" s="14" t="s">
        <v>115</v>
      </c>
      <c r="C67" s="100">
        <v>4.899</v>
      </c>
      <c r="D67" s="89" t="s">
        <v>96</v>
      </c>
      <c r="E67" s="100">
        <v>4.899</v>
      </c>
      <c r="F67" s="100">
        <v>0.35199999999999998</v>
      </c>
      <c r="G67" s="79"/>
      <c r="H67" s="36">
        <v>1665.6666666665419</v>
      </c>
      <c r="I67" s="79">
        <f t="shared" si="25"/>
        <v>432.01337080748215</v>
      </c>
      <c r="J67" s="79">
        <f t="shared" si="26"/>
        <v>389353.90946502058</v>
      </c>
      <c r="K67" s="80">
        <f t="shared" si="27"/>
        <v>19.286311196762597</v>
      </c>
      <c r="L67" s="68">
        <f t="shared" si="0"/>
        <v>2.1175871723084751E-2</v>
      </c>
      <c r="M67" s="68">
        <f t="shared" si="1"/>
        <v>2.1175871723084751E-2</v>
      </c>
      <c r="N67" s="31">
        <f t="shared" si="2"/>
        <v>-1.6000000000000458</v>
      </c>
      <c r="O67" s="31">
        <f t="shared" si="3"/>
        <v>-1.6000000000000458</v>
      </c>
      <c r="P67" s="31">
        <f t="shared" si="28"/>
        <v>-4.1582898740505859E-14</v>
      </c>
      <c r="Q67" s="40"/>
      <c r="R67" s="81">
        <f t="shared" si="29"/>
        <v>0.39160329351671663</v>
      </c>
      <c r="S67" s="81">
        <f t="shared" si="4"/>
        <v>0.59998806080633571</v>
      </c>
      <c r="T67" s="31">
        <f t="shared" si="5"/>
        <v>3.7715954540490941E-5</v>
      </c>
      <c r="U67" s="54">
        <f t="shared" si="30"/>
        <v>5224.5593633329754</v>
      </c>
      <c r="V67" s="31">
        <f t="shared" si="31"/>
        <v>8.8817509176660572</v>
      </c>
      <c r="W67" s="40"/>
      <c r="X67" s="17">
        <f t="shared" si="6"/>
        <v>12.453103423254536</v>
      </c>
      <c r="Y67" s="17">
        <f t="shared" si="32"/>
        <v>12.440656544307995</v>
      </c>
      <c r="Z67" s="31">
        <f t="shared" si="7"/>
        <v>23.022446220360095</v>
      </c>
      <c r="AA67" s="31">
        <f t="shared" si="33"/>
        <v>21.999935114901838</v>
      </c>
      <c r="AB67" s="31">
        <f t="shared" si="8"/>
        <v>-8.1416617684763338E-6</v>
      </c>
      <c r="AC67" s="40"/>
      <c r="AD67" s="79">
        <f t="shared" si="34"/>
        <v>888888.88888888888</v>
      </c>
      <c r="AE67" s="79">
        <f t="shared" si="9"/>
        <v>480000</v>
      </c>
      <c r="AF67" s="31">
        <f t="shared" si="10"/>
        <v>3.733694006329407E-5</v>
      </c>
      <c r="AG67" s="68">
        <f t="shared" si="11"/>
        <v>2.0033967145087956E-3</v>
      </c>
      <c r="AH67" s="68">
        <f t="shared" si="35"/>
        <v>2.0683067680588806E-3</v>
      </c>
      <c r="AI67" s="31">
        <f t="shared" si="36"/>
        <v>-30.864592439630577</v>
      </c>
      <c r="AJ67" s="31">
        <f t="shared" si="37"/>
        <v>0.53539476532549202</v>
      </c>
      <c r="AK67" s="31">
        <f t="shared" si="12"/>
        <v>2.450821584648348E-2</v>
      </c>
      <c r="AL67" s="40"/>
      <c r="AM67" s="79">
        <f t="shared" si="13"/>
        <v>35</v>
      </c>
      <c r="AN67" s="79">
        <f t="shared" si="14"/>
        <v>120000</v>
      </c>
      <c r="AO67" s="17"/>
      <c r="AP67" s="68">
        <f t="shared" si="15"/>
        <v>1.1282103896103894E-2</v>
      </c>
      <c r="AQ67" s="68">
        <f t="shared" si="38"/>
        <v>1.1293385999999999E-2</v>
      </c>
      <c r="AR67" s="31">
        <f t="shared" si="39"/>
        <v>3.9960039960038607</v>
      </c>
      <c r="AS67" s="31">
        <f t="shared" si="40"/>
        <v>4.9999999999998934</v>
      </c>
      <c r="AT67" s="31">
        <f t="shared" si="41"/>
        <v>4.2624045015548035E-14</v>
      </c>
      <c r="AU67" s="40"/>
      <c r="AV67" s="82">
        <f t="shared" si="16"/>
        <v>199.72165388603329</v>
      </c>
      <c r="AW67" s="79">
        <f t="shared" si="17"/>
        <v>9000</v>
      </c>
      <c r="AX67" s="18">
        <f t="shared" si="42"/>
        <v>211.04968477493145</v>
      </c>
      <c r="AY67" s="31">
        <f t="shared" si="43"/>
        <v>10.552484238746572</v>
      </c>
      <c r="AZ67" s="31">
        <f t="shared" si="18"/>
        <v>0</v>
      </c>
      <c r="BA67" s="40"/>
      <c r="BB67" s="82">
        <f t="shared" si="19"/>
        <v>92.463728650941334</v>
      </c>
      <c r="BC67" s="79">
        <f t="shared" si="20"/>
        <v>1000</v>
      </c>
      <c r="BD67" s="31">
        <f t="shared" si="44"/>
        <v>0.35231240245350348</v>
      </c>
      <c r="BE67" s="17">
        <f t="shared" si="45"/>
        <v>4.2277488294420427E-3</v>
      </c>
      <c r="BF67" s="31">
        <f t="shared" si="21"/>
        <v>0</v>
      </c>
      <c r="BG67" s="40"/>
      <c r="BH67" s="80">
        <f t="shared" si="22"/>
        <v>17.246280412916608</v>
      </c>
      <c r="BI67" s="80">
        <f t="shared" si="23"/>
        <v>10.880299105010838</v>
      </c>
      <c r="BJ67" s="18">
        <f t="shared" si="46"/>
        <v>145166.21751507657</v>
      </c>
      <c r="BK67" s="18">
        <f t="shared" si="47"/>
        <v>101.61635226055361</v>
      </c>
      <c r="BL67" s="31">
        <f t="shared" si="24"/>
        <v>1.5015568892066799E-2</v>
      </c>
      <c r="BN67" s="31"/>
      <c r="BO67" s="31"/>
      <c r="BP67" s="31"/>
      <c r="BQ67" s="31">
        <v>-4.1582898740505859E-14</v>
      </c>
      <c r="BR67" s="31">
        <v>6.2797788056222063E-6</v>
      </c>
      <c r="BS67" s="31">
        <v>-1.0010211424085751E-6</v>
      </c>
      <c r="BT67" s="31">
        <v>2.4508215846566136E-2</v>
      </c>
      <c r="BU67" s="31">
        <v>4.2624045015548035E-14</v>
      </c>
      <c r="BV67" s="31">
        <v>0</v>
      </c>
      <c r="BW67" s="31">
        <v>0</v>
      </c>
      <c r="BX67" s="31">
        <v>1.5015568892066799E-2</v>
      </c>
      <c r="BY67" s="36"/>
      <c r="BZ67" s="36"/>
      <c r="CA67" s="83"/>
      <c r="CB67" s="83"/>
      <c r="CC67" s="83"/>
      <c r="CD67" s="83"/>
      <c r="CE67" s="83"/>
      <c r="CF67" s="83"/>
      <c r="CG67" s="83"/>
      <c r="CI67" s="31"/>
      <c r="CJ67" s="31"/>
    </row>
    <row r="68" spans="1:88" x14ac:dyDescent="0.2">
      <c r="A68" s="107" t="s">
        <v>34</v>
      </c>
      <c r="B68" s="96" t="s">
        <v>115</v>
      </c>
      <c r="C68" s="108">
        <v>4.0000000000000001E-3</v>
      </c>
      <c r="D68" s="104" t="s">
        <v>112</v>
      </c>
      <c r="E68" s="108">
        <v>5.8999999999999997E-2</v>
      </c>
      <c r="F68" s="108">
        <v>4.0000000000000001E-3</v>
      </c>
      <c r="G68" s="79"/>
      <c r="H68" s="36">
        <v>2856.142857143172</v>
      </c>
      <c r="I68" s="79">
        <f t="shared" si="25"/>
        <v>432.01337080748215</v>
      </c>
      <c r="J68" s="79">
        <f t="shared" si="26"/>
        <v>389353.90946502058</v>
      </c>
      <c r="K68" s="80">
        <f t="shared" si="27"/>
        <v>19.286311196762597</v>
      </c>
      <c r="L68" s="68">
        <f t="shared" si="0"/>
        <v>2.1175871723084751E-2</v>
      </c>
      <c r="M68" s="68">
        <f t="shared" si="1"/>
        <v>2.1175871723084751E-2</v>
      </c>
      <c r="N68" s="31">
        <f t="shared" si="2"/>
        <v>-1.6000000000000458</v>
      </c>
      <c r="O68" s="31">
        <f t="shared" si="3"/>
        <v>-1.6000000000000458</v>
      </c>
      <c r="P68" s="31">
        <f t="shared" si="28"/>
        <v>-4.1582898740505859E-14</v>
      </c>
      <c r="Q68" s="40"/>
      <c r="R68" s="81">
        <f t="shared" si="29"/>
        <v>0.39161108067878736</v>
      </c>
      <c r="S68" s="81">
        <f t="shared" si="4"/>
        <v>0.59999999176898944</v>
      </c>
      <c r="T68" s="31">
        <f t="shared" si="5"/>
        <v>2.6001791081681174E-8</v>
      </c>
      <c r="U68" s="54">
        <f t="shared" si="30"/>
        <v>5224.6632554380321</v>
      </c>
      <c r="V68" s="31">
        <f t="shared" si="31"/>
        <v>8.8819275342446549</v>
      </c>
      <c r="W68" s="40"/>
      <c r="X68" s="17">
        <f t="shared" si="6"/>
        <v>12.453104212111732</v>
      </c>
      <c r="Y68" s="17">
        <f t="shared" si="32"/>
        <v>12.440657332376729</v>
      </c>
      <c r="Z68" s="31">
        <f t="shared" si="7"/>
        <v>23.022511024978876</v>
      </c>
      <c r="AA68" s="31">
        <f t="shared" si="33"/>
        <v>21.999999854748211</v>
      </c>
      <c r="AB68" s="31">
        <f t="shared" si="8"/>
        <v>-1.8225923560205217E-8</v>
      </c>
      <c r="AC68" s="40"/>
      <c r="AD68" s="79">
        <f t="shared" si="34"/>
        <v>888888.88888888888</v>
      </c>
      <c r="AE68" s="79">
        <f t="shared" si="9"/>
        <v>480000</v>
      </c>
      <c r="AF68" s="31">
        <f t="shared" si="10"/>
        <v>2.5555352347450462E-8</v>
      </c>
      <c r="AG68" s="68">
        <f t="shared" si="11"/>
        <v>2.0033308463957016E-3</v>
      </c>
      <c r="AH68" s="68">
        <f t="shared" si="35"/>
        <v>2.0682387658189226E-3</v>
      </c>
      <c r="AI68" s="31">
        <f t="shared" si="36"/>
        <v>-30.896455884432239</v>
      </c>
      <c r="AJ68" s="31">
        <f t="shared" si="37"/>
        <v>0.50249894491227742</v>
      </c>
      <c r="AK68" s="31">
        <f t="shared" si="12"/>
        <v>1.7303316107723187E-3</v>
      </c>
      <c r="AL68" s="40"/>
      <c r="AM68" s="79">
        <f t="shared" si="13"/>
        <v>35</v>
      </c>
      <c r="AN68" s="79">
        <f t="shared" si="14"/>
        <v>120000</v>
      </c>
      <c r="AO68" s="17"/>
      <c r="AP68" s="68">
        <f t="shared" si="15"/>
        <v>1.1282103896103894E-2</v>
      </c>
      <c r="AQ68" s="68">
        <f t="shared" si="38"/>
        <v>1.1293385999999999E-2</v>
      </c>
      <c r="AR68" s="31">
        <f t="shared" si="39"/>
        <v>3.9960039960038607</v>
      </c>
      <c r="AS68" s="31">
        <f t="shared" si="40"/>
        <v>4.9999999999998934</v>
      </c>
      <c r="AT68" s="31">
        <f t="shared" si="41"/>
        <v>4.2624045015548035E-14</v>
      </c>
      <c r="AU68" s="40"/>
      <c r="AV68" s="82">
        <f t="shared" si="16"/>
        <v>199.72165388603329</v>
      </c>
      <c r="AW68" s="79">
        <f t="shared" si="17"/>
        <v>9000</v>
      </c>
      <c r="AX68" s="18">
        <f t="shared" si="42"/>
        <v>211.04968477493145</v>
      </c>
      <c r="AY68" s="31">
        <f t="shared" si="43"/>
        <v>10.552484238746572</v>
      </c>
      <c r="AZ68" s="31">
        <f t="shared" si="18"/>
        <v>0</v>
      </c>
      <c r="BA68" s="40"/>
      <c r="BB68" s="82">
        <f t="shared" si="19"/>
        <v>92.463728650941334</v>
      </c>
      <c r="BC68" s="79">
        <f t="shared" si="20"/>
        <v>1000</v>
      </c>
      <c r="BD68" s="31">
        <f t="shared" si="44"/>
        <v>0.35231240245350348</v>
      </c>
      <c r="BE68" s="17">
        <f t="shared" si="45"/>
        <v>4.2277488294420427E-3</v>
      </c>
      <c r="BF68" s="31">
        <f t="shared" si="21"/>
        <v>0</v>
      </c>
      <c r="BG68" s="40"/>
      <c r="BH68" s="80">
        <f t="shared" si="22"/>
        <v>17.426578969567739</v>
      </c>
      <c r="BI68" s="80">
        <f t="shared" si="23"/>
        <v>10.994045500036217</v>
      </c>
      <c r="BJ68" s="18">
        <f t="shared" si="46"/>
        <v>146683.83516165445</v>
      </c>
      <c r="BK68" s="18">
        <f t="shared" si="47"/>
        <v>102.67868461315814</v>
      </c>
      <c r="BL68" s="31">
        <f t="shared" si="24"/>
        <v>7.4694683303823763E-4</v>
      </c>
      <c r="BN68" s="31"/>
      <c r="BO68" s="31"/>
      <c r="BP68" s="31"/>
      <c r="BQ68" s="31">
        <v>-4.1582898740505859E-14</v>
      </c>
      <c r="BR68" s="31">
        <v>1.2021521261457602E-9</v>
      </c>
      <c r="BS68" s="31">
        <v>-1.1339181415905396E-8</v>
      </c>
      <c r="BT68" s="31">
        <v>1.7303316108097362E-3</v>
      </c>
      <c r="BU68" s="31">
        <v>4.2624045015548035E-14</v>
      </c>
      <c r="BV68" s="31">
        <v>0</v>
      </c>
      <c r="BW68" s="31">
        <v>0</v>
      </c>
      <c r="BX68" s="31">
        <v>7.4694683303823763E-4</v>
      </c>
      <c r="BY68" s="36"/>
      <c r="BZ68" s="36"/>
      <c r="CA68" s="83"/>
      <c r="CB68" s="83"/>
      <c r="CC68" s="83"/>
      <c r="CD68" s="83"/>
      <c r="CE68" s="83"/>
      <c r="CF68" s="83"/>
      <c r="CG68" s="83"/>
      <c r="CI68" s="31"/>
      <c r="CJ68" s="31"/>
    </row>
    <row r="69" spans="1:88" x14ac:dyDescent="0.2">
      <c r="A69" s="87" t="s">
        <v>35</v>
      </c>
      <c r="B69" s="14" t="s">
        <v>42</v>
      </c>
      <c r="C69" s="93">
        <v>1</v>
      </c>
      <c r="D69" s="101" t="s">
        <v>116</v>
      </c>
      <c r="E69" s="94">
        <v>1</v>
      </c>
      <c r="F69" s="88">
        <v>17</v>
      </c>
      <c r="G69" s="79"/>
      <c r="H69" s="36">
        <v>4999.0000000005502</v>
      </c>
      <c r="I69" s="79">
        <f t="shared" si="25"/>
        <v>432.01337080748215</v>
      </c>
      <c r="J69" s="79">
        <f t="shared" si="26"/>
        <v>389353.90946502058</v>
      </c>
      <c r="K69" s="80">
        <f t="shared" si="27"/>
        <v>19.286311196762597</v>
      </c>
      <c r="L69" s="68">
        <f t="shared" si="0"/>
        <v>2.1175871723084751E-2</v>
      </c>
      <c r="M69" s="68">
        <f t="shared" si="1"/>
        <v>2.1175871723084751E-2</v>
      </c>
      <c r="N69" s="31">
        <f t="shared" si="2"/>
        <v>-1.6000000000000458</v>
      </c>
      <c r="O69" s="31">
        <f t="shared" si="3"/>
        <v>-1.6000000000000458</v>
      </c>
      <c r="P69" s="31">
        <f t="shared" si="28"/>
        <v>-4.1582898740505859E-14</v>
      </c>
      <c r="Q69" s="40"/>
      <c r="R69" s="81">
        <f t="shared" si="29"/>
        <v>0.39161108605103473</v>
      </c>
      <c r="S69" s="81">
        <f t="shared" si="4"/>
        <v>0.59999999999998321</v>
      </c>
      <c r="T69" s="31">
        <f t="shared" si="5"/>
        <v>5.2958696105544096E-14</v>
      </c>
      <c r="U69" s="54">
        <f t="shared" si="30"/>
        <v>5224.6633271116507</v>
      </c>
      <c r="V69" s="31">
        <f t="shared" si="31"/>
        <v>8.8819276560898057</v>
      </c>
      <c r="W69" s="40"/>
      <c r="X69" s="17">
        <f t="shared" si="6"/>
        <v>12.453104213881623</v>
      </c>
      <c r="Y69" s="17">
        <f t="shared" si="32"/>
        <v>12.44065733414485</v>
      </c>
      <c r="Z69" s="31">
        <f t="shared" si="7"/>
        <v>23.022511170375239</v>
      </c>
      <c r="AA69" s="31">
        <f t="shared" si="33"/>
        <v>21.999999999999353</v>
      </c>
      <c r="AB69" s="31">
        <f t="shared" si="8"/>
        <v>-7.3242955611211995E-14</v>
      </c>
      <c r="AC69" s="40"/>
      <c r="AD69" s="79">
        <f t="shared" si="34"/>
        <v>888888.88888888888</v>
      </c>
      <c r="AE69" s="79">
        <f t="shared" si="9"/>
        <v>480000</v>
      </c>
      <c r="AF69" s="31">
        <f t="shared" si="10"/>
        <v>5.1416148865353916E-14</v>
      </c>
      <c r="AG69" s="68">
        <f t="shared" si="11"/>
        <v>2.0033258850768233E-3</v>
      </c>
      <c r="AH69" s="68">
        <f t="shared" si="35"/>
        <v>2.0682336437533124E-3</v>
      </c>
      <c r="AI69" s="31">
        <f t="shared" si="36"/>
        <v>-30.898855903239486</v>
      </c>
      <c r="AJ69" s="31">
        <f t="shared" si="37"/>
        <v>0.50002116549552333</v>
      </c>
      <c r="AK69" s="31">
        <f t="shared" si="12"/>
        <v>1.4655515526474102E-5</v>
      </c>
      <c r="AL69" s="40"/>
      <c r="AM69" s="79">
        <f t="shared" si="13"/>
        <v>35</v>
      </c>
      <c r="AN69" s="79">
        <f t="shared" si="14"/>
        <v>120000</v>
      </c>
      <c r="AO69" s="17"/>
      <c r="AP69" s="68">
        <f t="shared" si="15"/>
        <v>1.1282103896103894E-2</v>
      </c>
      <c r="AQ69" s="68">
        <f t="shared" si="38"/>
        <v>1.1293385999999999E-2</v>
      </c>
      <c r="AR69" s="31">
        <f t="shared" si="39"/>
        <v>3.9960039960038607</v>
      </c>
      <c r="AS69" s="31">
        <f t="shared" si="40"/>
        <v>4.9999999999998934</v>
      </c>
      <c r="AT69" s="31">
        <f t="shared" si="41"/>
        <v>4.2624045015548035E-14</v>
      </c>
      <c r="AU69" s="40"/>
      <c r="AV69" s="82">
        <f t="shared" si="16"/>
        <v>199.72165388603329</v>
      </c>
      <c r="AW69" s="79">
        <f t="shared" si="17"/>
        <v>9000</v>
      </c>
      <c r="AX69" s="18">
        <f t="shared" si="42"/>
        <v>211.04968477493145</v>
      </c>
      <c r="AY69" s="31">
        <f t="shared" si="43"/>
        <v>10.552484238746572</v>
      </c>
      <c r="AZ69" s="31">
        <f t="shared" si="18"/>
        <v>0</v>
      </c>
      <c r="BA69" s="40"/>
      <c r="BB69" s="82">
        <f t="shared" si="19"/>
        <v>92.463728650941334</v>
      </c>
      <c r="BC69" s="79">
        <f t="shared" si="20"/>
        <v>1000</v>
      </c>
      <c r="BD69" s="31">
        <f t="shared" si="44"/>
        <v>0.35231240245350348</v>
      </c>
      <c r="BE69" s="17">
        <f t="shared" si="45"/>
        <v>4.2277488294420427E-3</v>
      </c>
      <c r="BF69" s="31">
        <f t="shared" si="21"/>
        <v>0</v>
      </c>
      <c r="BG69" s="40"/>
      <c r="BH69" s="80">
        <f t="shared" si="22"/>
        <v>17.435974838387295</v>
      </c>
      <c r="BI69" s="80">
        <f t="shared" si="23"/>
        <v>10.999973147080135</v>
      </c>
      <c r="BJ69" s="18">
        <f t="shared" si="46"/>
        <v>146762.92251870458</v>
      </c>
      <c r="BK69" s="18">
        <f t="shared" si="47"/>
        <v>102.73404576309321</v>
      </c>
      <c r="BL69" s="31">
        <f t="shared" si="24"/>
        <v>3.368495015985338E-6</v>
      </c>
      <c r="BN69" s="31"/>
      <c r="BO69" s="31"/>
      <c r="BP69" s="31"/>
      <c r="BQ69" s="31">
        <v>-4.1582898740505859E-14</v>
      </c>
      <c r="BR69" s="31">
        <v>0</v>
      </c>
      <c r="BS69" s="31">
        <v>-3.6621477805605997E-14</v>
      </c>
      <c r="BT69" s="31">
        <v>1.4655515545157623E-5</v>
      </c>
      <c r="BU69" s="31">
        <v>4.2624045015548035E-14</v>
      </c>
      <c r="BV69" s="31">
        <v>0</v>
      </c>
      <c r="BW69" s="31">
        <v>0</v>
      </c>
      <c r="BX69" s="31">
        <v>3.368495015985338E-6</v>
      </c>
      <c r="BY69" s="36"/>
      <c r="BZ69" s="36"/>
      <c r="CA69" s="83"/>
      <c r="CB69" s="83"/>
      <c r="CC69" s="83"/>
      <c r="CD69" s="83"/>
      <c r="CE69" s="83"/>
      <c r="CF69" s="83"/>
      <c r="CG69" s="83"/>
      <c r="CI69" s="31"/>
      <c r="CJ69" s="31"/>
    </row>
    <row r="70" spans="1:88" x14ac:dyDescent="0.2">
      <c r="A70" s="87" t="s">
        <v>36</v>
      </c>
      <c r="B70" s="14" t="s">
        <v>42</v>
      </c>
      <c r="C70" s="93">
        <v>11</v>
      </c>
      <c r="D70" s="101" t="s">
        <v>117</v>
      </c>
      <c r="E70" s="94">
        <v>0.6</v>
      </c>
      <c r="F70" s="88">
        <v>11</v>
      </c>
      <c r="G70" s="79"/>
      <c r="H70" s="36">
        <v>9999.0000000011005</v>
      </c>
      <c r="I70" s="79">
        <f t="shared" si="25"/>
        <v>432.01337080748215</v>
      </c>
      <c r="J70" s="79">
        <f t="shared" si="26"/>
        <v>389353.90946502058</v>
      </c>
      <c r="K70" s="80">
        <f t="shared" si="27"/>
        <v>19.286311196762597</v>
      </c>
      <c r="L70" s="68">
        <f t="shared" si="0"/>
        <v>2.1175871723084751E-2</v>
      </c>
      <c r="M70" s="68">
        <f t="shared" si="1"/>
        <v>2.1175871723084751E-2</v>
      </c>
      <c r="N70" s="31">
        <f t="shared" si="2"/>
        <v>-1.6000000000000458</v>
      </c>
      <c r="O70" s="31">
        <f t="shared" si="3"/>
        <v>-1.6000000000000458</v>
      </c>
      <c r="P70" s="31">
        <f t="shared" si="28"/>
        <v>-4.1582898740505859E-14</v>
      </c>
      <c r="Q70" s="40"/>
      <c r="R70" s="81">
        <f t="shared" si="29"/>
        <v>0.39161108605104566</v>
      </c>
      <c r="S70" s="81">
        <f t="shared" si="4"/>
        <v>0.6</v>
      </c>
      <c r="T70" s="31">
        <f t="shared" si="5"/>
        <v>0</v>
      </c>
      <c r="U70" s="54">
        <f t="shared" si="30"/>
        <v>5224.6633271117971</v>
      </c>
      <c r="V70" s="31">
        <f t="shared" si="31"/>
        <v>8.8819276560900544</v>
      </c>
      <c r="W70" s="40"/>
      <c r="X70" s="17">
        <f t="shared" si="6"/>
        <v>12.45310421388163</v>
      </c>
      <c r="Y70" s="17">
        <f t="shared" si="32"/>
        <v>12.440657334144857</v>
      </c>
      <c r="Z70" s="31">
        <f t="shared" si="7"/>
        <v>23.022511170375903</v>
      </c>
      <c r="AA70" s="31">
        <f t="shared" si="33"/>
        <v>22.000000000000021</v>
      </c>
      <c r="AB70" s="31">
        <f t="shared" si="8"/>
        <v>0</v>
      </c>
      <c r="AC70" s="40"/>
      <c r="AD70" s="79">
        <f t="shared" si="34"/>
        <v>888888.88888888888</v>
      </c>
      <c r="AE70" s="79">
        <f t="shared" si="9"/>
        <v>480000</v>
      </c>
      <c r="AF70" s="31">
        <f t="shared" si="10"/>
        <v>2.627488215652309E-27</v>
      </c>
      <c r="AG70" s="68">
        <f t="shared" si="11"/>
        <v>2.0033258426972486E-3</v>
      </c>
      <c r="AH70" s="68">
        <f t="shared" si="35"/>
        <v>2.0682336000006395E-3</v>
      </c>
      <c r="AI70" s="31">
        <f t="shared" si="36"/>
        <v>-30.898876404194752</v>
      </c>
      <c r="AJ70" s="31">
        <f t="shared" si="37"/>
        <v>0.50000000030947511</v>
      </c>
      <c r="AK70" s="31">
        <f t="shared" si="12"/>
        <v>2.1428826492415678E-10</v>
      </c>
      <c r="AL70" s="40"/>
      <c r="AM70" s="79">
        <f t="shared" si="13"/>
        <v>35</v>
      </c>
      <c r="AN70" s="79">
        <f t="shared" si="14"/>
        <v>120000</v>
      </c>
      <c r="AO70" s="17"/>
      <c r="AP70" s="68">
        <f t="shared" si="15"/>
        <v>1.1282103896103894E-2</v>
      </c>
      <c r="AQ70" s="68">
        <f t="shared" si="38"/>
        <v>1.1293385999999999E-2</v>
      </c>
      <c r="AR70" s="31">
        <f t="shared" si="39"/>
        <v>3.9960039960038607</v>
      </c>
      <c r="AS70" s="31">
        <f t="shared" si="40"/>
        <v>4.9999999999998934</v>
      </c>
      <c r="AT70" s="31">
        <f t="shared" si="41"/>
        <v>4.2624045015548035E-14</v>
      </c>
      <c r="AU70" s="40"/>
      <c r="AV70" s="82">
        <f t="shared" si="16"/>
        <v>199.72165388603329</v>
      </c>
      <c r="AW70" s="79">
        <f t="shared" si="17"/>
        <v>9000</v>
      </c>
      <c r="AX70" s="18">
        <f t="shared" si="42"/>
        <v>211.04968477493145</v>
      </c>
      <c r="AY70" s="31">
        <f t="shared" si="43"/>
        <v>10.552484238746572</v>
      </c>
      <c r="AZ70" s="31">
        <f t="shared" si="18"/>
        <v>0</v>
      </c>
      <c r="BA70" s="40"/>
      <c r="BB70" s="82">
        <f t="shared" si="19"/>
        <v>92.463728650941334</v>
      </c>
      <c r="BC70" s="79">
        <f t="shared" si="20"/>
        <v>1000</v>
      </c>
      <c r="BD70" s="31">
        <f t="shared" si="44"/>
        <v>0.35231240245350348</v>
      </c>
      <c r="BE70" s="17">
        <f t="shared" si="45"/>
        <v>4.2277488294420427E-3</v>
      </c>
      <c r="BF70" s="31">
        <f t="shared" si="21"/>
        <v>0</v>
      </c>
      <c r="BG70" s="40"/>
      <c r="BH70" s="80">
        <f t="shared" si="22"/>
        <v>17.43601740260592</v>
      </c>
      <c r="BI70" s="80">
        <f t="shared" si="23"/>
        <v>10.999999999909774</v>
      </c>
      <c r="BJ70" s="18">
        <f t="shared" si="46"/>
        <v>146763.28079228423</v>
      </c>
      <c r="BK70" s="18">
        <f t="shared" si="47"/>
        <v>102.73429655459897</v>
      </c>
      <c r="BL70" s="31">
        <f t="shared" si="24"/>
        <v>1.1318228830350255E-11</v>
      </c>
      <c r="BN70" s="31"/>
      <c r="BO70" s="31"/>
      <c r="BP70" s="31"/>
      <c r="BQ70" s="31">
        <v>-4.1582898740505859E-14</v>
      </c>
      <c r="BR70" s="31">
        <v>0</v>
      </c>
      <c r="BS70" s="31">
        <v>1.8310738902802999E-14</v>
      </c>
      <c r="BT70" s="31">
        <v>2.1426919274441519E-10</v>
      </c>
      <c r="BU70" s="31">
        <v>4.2624045015548035E-14</v>
      </c>
      <c r="BV70" s="31">
        <v>0</v>
      </c>
      <c r="BW70" s="31">
        <v>0</v>
      </c>
      <c r="BX70" s="31">
        <v>1.1318228830350255E-11</v>
      </c>
      <c r="BY70" s="36"/>
      <c r="BZ70" s="36"/>
      <c r="CA70" s="83"/>
      <c r="CB70" s="83"/>
      <c r="CC70" s="83"/>
      <c r="CD70" s="83"/>
      <c r="CE70" s="83"/>
      <c r="CF70" s="83"/>
      <c r="CG70" s="83"/>
      <c r="CI70" s="31"/>
      <c r="CJ70" s="31"/>
    </row>
    <row r="71" spans="1:88" ht="17" x14ac:dyDescent="0.2">
      <c r="A71" s="109" t="s">
        <v>37</v>
      </c>
      <c r="B71" s="14" t="s">
        <v>43</v>
      </c>
      <c r="C71" s="88">
        <v>8658</v>
      </c>
      <c r="D71" s="101" t="s">
        <v>116</v>
      </c>
      <c r="E71" s="88">
        <v>8658</v>
      </c>
      <c r="F71" s="88">
        <v>146763</v>
      </c>
      <c r="G71" s="79"/>
      <c r="H71" s="42">
        <v>15000</v>
      </c>
      <c r="I71" s="79">
        <f t="shared" si="25"/>
        <v>432.01337080748215</v>
      </c>
      <c r="J71" s="79">
        <f t="shared" si="26"/>
        <v>389353.90946502058</v>
      </c>
      <c r="K71" s="80">
        <f t="shared" si="27"/>
        <v>19.286311196762597</v>
      </c>
      <c r="L71" s="68">
        <f t="shared" si="0"/>
        <v>2.1175871723084751E-2</v>
      </c>
      <c r="M71" s="68">
        <f t="shared" si="1"/>
        <v>2.1175871723084751E-2</v>
      </c>
      <c r="N71" s="31">
        <f t="shared" si="2"/>
        <v>-1.6000000000000458</v>
      </c>
      <c r="O71" s="31">
        <f t="shared" si="3"/>
        <v>-1.6000000000000458</v>
      </c>
      <c r="P71" s="31">
        <f t="shared" si="28"/>
        <v>-4.1582898740505859E-14</v>
      </c>
      <c r="Q71" s="40"/>
      <c r="R71" s="81">
        <f t="shared" si="29"/>
        <v>0.39161108605104566</v>
      </c>
      <c r="S71" s="81">
        <f t="shared" si="4"/>
        <v>0.6</v>
      </c>
      <c r="T71" s="31">
        <f t="shared" si="5"/>
        <v>0</v>
      </c>
      <c r="U71" s="54">
        <f t="shared" si="30"/>
        <v>5224.6633271117971</v>
      </c>
      <c r="V71" s="31">
        <f t="shared" si="31"/>
        <v>8.8819276560900544</v>
      </c>
      <c r="W71" s="40"/>
      <c r="X71" s="17">
        <f t="shared" si="6"/>
        <v>12.45310421388163</v>
      </c>
      <c r="Y71" s="17">
        <f t="shared" si="32"/>
        <v>12.440657334144857</v>
      </c>
      <c r="Z71" s="31">
        <f t="shared" si="7"/>
        <v>23.022511170375903</v>
      </c>
      <c r="AA71" s="31">
        <f t="shared" si="33"/>
        <v>22.000000000000021</v>
      </c>
      <c r="AB71" s="31">
        <f t="shared" si="8"/>
        <v>0</v>
      </c>
      <c r="AC71" s="40"/>
      <c r="AD71" s="79">
        <f t="shared" si="34"/>
        <v>888888.88888888888</v>
      </c>
      <c r="AE71" s="79">
        <f t="shared" si="9"/>
        <v>480000</v>
      </c>
      <c r="AF71" s="31">
        <f t="shared" si="10"/>
        <v>1.334515731524384E-40</v>
      </c>
      <c r="AG71" s="68">
        <f t="shared" si="11"/>
        <v>2.0033258426966289E-3</v>
      </c>
      <c r="AH71" s="68">
        <f t="shared" si="35"/>
        <v>2.0682335999999998E-3</v>
      </c>
      <c r="AI71" s="31">
        <f t="shared" si="36"/>
        <v>-30.898876404494512</v>
      </c>
      <c r="AJ71" s="31">
        <f>(AH71/AG$15-1)*1000</f>
        <v>0.49999999999994493</v>
      </c>
      <c r="AK71" s="31">
        <f t="shared" si="12"/>
        <v>-3.812980336615903E-14</v>
      </c>
      <c r="AL71" s="40"/>
      <c r="AM71" s="79">
        <f t="shared" si="13"/>
        <v>35</v>
      </c>
      <c r="AN71" s="79">
        <f t="shared" si="14"/>
        <v>120000</v>
      </c>
      <c r="AO71" s="17"/>
      <c r="AP71" s="68">
        <f t="shared" si="15"/>
        <v>1.1282103896103894E-2</v>
      </c>
      <c r="AQ71" s="68">
        <f t="shared" si="38"/>
        <v>1.1293385999999999E-2</v>
      </c>
      <c r="AR71" s="31">
        <f t="shared" si="39"/>
        <v>3.9960039960038607</v>
      </c>
      <c r="AS71" s="31">
        <f>(AQ71/AP$15-1)*1000</f>
        <v>4.9999999999998934</v>
      </c>
      <c r="AT71" s="31">
        <f t="shared" si="41"/>
        <v>4.2624045015548035E-14</v>
      </c>
      <c r="AU71" s="40"/>
      <c r="AV71" s="82">
        <f t="shared" si="16"/>
        <v>199.72165388603329</v>
      </c>
      <c r="AW71" s="79">
        <f t="shared" si="17"/>
        <v>9000</v>
      </c>
      <c r="AX71" s="18">
        <f t="shared" si="42"/>
        <v>211.04968477493145</v>
      </c>
      <c r="AY71" s="31">
        <f t="shared" si="43"/>
        <v>10.552484238746572</v>
      </c>
      <c r="AZ71" s="31">
        <f t="shared" si="18"/>
        <v>0</v>
      </c>
      <c r="BA71" s="40"/>
      <c r="BB71" s="82">
        <f t="shared" si="19"/>
        <v>92.463728650941334</v>
      </c>
      <c r="BC71" s="79">
        <f t="shared" si="20"/>
        <v>1000</v>
      </c>
      <c r="BD71" s="31">
        <f t="shared" si="44"/>
        <v>0.35231240245350348</v>
      </c>
      <c r="BE71" s="17">
        <f t="shared" si="45"/>
        <v>4.2277488294420427E-3</v>
      </c>
      <c r="BF71" s="31">
        <f t="shared" si="21"/>
        <v>0</v>
      </c>
      <c r="BG71" s="40"/>
      <c r="BH71" s="80">
        <f t="shared" si="22"/>
        <v>17.436017402748938</v>
      </c>
      <c r="BI71" s="80">
        <f t="shared" si="23"/>
        <v>11</v>
      </c>
      <c r="BJ71" s="18">
        <f t="shared" si="46"/>
        <v>146763.28079348803</v>
      </c>
      <c r="BK71" s="18">
        <f t="shared" si="47"/>
        <v>102.73429655544165</v>
      </c>
      <c r="BL71" s="31">
        <f t="shared" si="24"/>
        <v>0</v>
      </c>
      <c r="BN71" s="31"/>
      <c r="BO71" s="31"/>
      <c r="BP71" s="31"/>
      <c r="BQ71" s="31">
        <v>-4.1582898740505859E-14</v>
      </c>
      <c r="BR71" s="31">
        <v>0</v>
      </c>
      <c r="BS71" s="31">
        <v>1.8310738902802999E-14</v>
      </c>
      <c r="BT71" s="31">
        <v>-2.8089707213532728E-14</v>
      </c>
      <c r="BU71" s="31">
        <v>4.2624045015548035E-14</v>
      </c>
      <c r="BV71" s="31">
        <v>0</v>
      </c>
      <c r="BW71" s="31">
        <v>0</v>
      </c>
      <c r="BX71" s="31">
        <v>0</v>
      </c>
      <c r="BY71" s="36"/>
      <c r="BZ71" s="36"/>
      <c r="CA71" s="83"/>
      <c r="CB71" s="83"/>
      <c r="CC71" s="83"/>
      <c r="CD71" s="83"/>
      <c r="CE71" s="83"/>
      <c r="CF71" s="83"/>
      <c r="CG71" s="83"/>
      <c r="CI71" s="31"/>
      <c r="CJ71" s="31"/>
    </row>
    <row r="72" spans="1:88" ht="17" x14ac:dyDescent="0.2">
      <c r="A72" s="110" t="s">
        <v>38</v>
      </c>
      <c r="B72" s="96" t="s">
        <v>43</v>
      </c>
      <c r="C72" s="99">
        <v>102.7</v>
      </c>
      <c r="D72" s="104" t="s">
        <v>117</v>
      </c>
      <c r="E72" s="99">
        <v>6.1</v>
      </c>
      <c r="F72" s="99">
        <v>102.7</v>
      </c>
      <c r="G72" s="79"/>
      <c r="H72" s="42">
        <v>30000</v>
      </c>
      <c r="I72" s="79">
        <f t="shared" si="25"/>
        <v>432.01337080748215</v>
      </c>
      <c r="J72" s="79">
        <f t="shared" si="26"/>
        <v>389353.90946502058</v>
      </c>
      <c r="K72" s="80">
        <f t="shared" si="27"/>
        <v>19.286311196762597</v>
      </c>
      <c r="L72" s="68">
        <f t="shared" si="0"/>
        <v>2.1175871723084751E-2</v>
      </c>
      <c r="M72" s="68">
        <f t="shared" si="1"/>
        <v>2.1175871723084751E-2</v>
      </c>
      <c r="N72" s="31">
        <f t="shared" si="2"/>
        <v>-1.6000000000000458</v>
      </c>
      <c r="O72" s="31">
        <f t="shared" si="3"/>
        <v>-1.6000000000000458</v>
      </c>
      <c r="P72" s="31">
        <f t="shared" si="28"/>
        <v>-4.1582898740505859E-14</v>
      </c>
      <c r="Q72" s="40"/>
      <c r="R72" s="81">
        <f t="shared" si="29"/>
        <v>0.39161108605104566</v>
      </c>
      <c r="S72" s="81">
        <f t="shared" si="4"/>
        <v>0.6</v>
      </c>
      <c r="T72" s="31">
        <f t="shared" si="5"/>
        <v>0</v>
      </c>
      <c r="U72" s="54">
        <f t="shared" si="30"/>
        <v>5224.6633271117971</v>
      </c>
      <c r="V72" s="31">
        <f t="shared" si="31"/>
        <v>8.8819276560900544</v>
      </c>
      <c r="W72" s="40"/>
      <c r="X72" s="17">
        <f t="shared" si="6"/>
        <v>12.45310421388163</v>
      </c>
      <c r="Y72" s="17">
        <f t="shared" si="32"/>
        <v>12.440657334144857</v>
      </c>
      <c r="Z72" s="31">
        <f t="shared" si="7"/>
        <v>23.022511170375903</v>
      </c>
      <c r="AA72" s="31">
        <f t="shared" si="33"/>
        <v>22.000000000000021</v>
      </c>
      <c r="AB72" s="31">
        <f t="shared" si="8"/>
        <v>0</v>
      </c>
      <c r="AC72" s="40"/>
      <c r="AD72" s="79">
        <f t="shared" si="34"/>
        <v>888888.88888888888</v>
      </c>
      <c r="AE72" s="79">
        <f t="shared" si="9"/>
        <v>480000</v>
      </c>
      <c r="AF72" s="31">
        <f t="shared" si="10"/>
        <v>1.7809322376860618E-80</v>
      </c>
      <c r="AG72" s="68">
        <f t="shared" si="11"/>
        <v>2.0033258426966289E-3</v>
      </c>
      <c r="AH72" s="68">
        <f t="shared" si="35"/>
        <v>2.0682335999999998E-3</v>
      </c>
      <c r="AI72" s="31">
        <f t="shared" si="36"/>
        <v>-30.898876404494512</v>
      </c>
      <c r="AJ72" s="31">
        <f t="shared" si="37"/>
        <v>0.49999999999994493</v>
      </c>
      <c r="AK72" s="31">
        <f t="shared" si="12"/>
        <v>-3.812980336615903E-14</v>
      </c>
      <c r="AL72" s="40"/>
      <c r="AM72" s="79">
        <f t="shared" si="13"/>
        <v>35</v>
      </c>
      <c r="AN72" s="79">
        <f t="shared" si="14"/>
        <v>120000</v>
      </c>
      <c r="AO72" s="17"/>
      <c r="AP72" s="68">
        <f t="shared" si="15"/>
        <v>1.1282103896103894E-2</v>
      </c>
      <c r="AQ72" s="68">
        <f t="shared" si="38"/>
        <v>1.1293385999999999E-2</v>
      </c>
      <c r="AR72" s="31">
        <f t="shared" si="39"/>
        <v>3.9960039960038607</v>
      </c>
      <c r="AS72" s="31">
        <f t="shared" si="40"/>
        <v>4.9999999999998934</v>
      </c>
      <c r="AT72" s="31">
        <f t="shared" si="41"/>
        <v>4.2624045015548035E-14</v>
      </c>
      <c r="AU72" s="40"/>
      <c r="AV72" s="82">
        <f t="shared" si="16"/>
        <v>199.72165388603329</v>
      </c>
      <c r="AW72" s="79">
        <f t="shared" si="17"/>
        <v>9000</v>
      </c>
      <c r="AX72" s="18">
        <f t="shared" si="42"/>
        <v>211.04968477493145</v>
      </c>
      <c r="AY72" s="31">
        <f t="shared" si="43"/>
        <v>10.552484238746572</v>
      </c>
      <c r="AZ72" s="31">
        <f t="shared" si="18"/>
        <v>0</v>
      </c>
      <c r="BA72" s="40"/>
      <c r="BB72" s="82">
        <f t="shared" si="19"/>
        <v>92.463728650941334</v>
      </c>
      <c r="BC72" s="79">
        <f t="shared" si="20"/>
        <v>1000</v>
      </c>
      <c r="BD72" s="31">
        <f t="shared" si="44"/>
        <v>0.35231240245350348</v>
      </c>
      <c r="BE72" s="17">
        <f t="shared" si="45"/>
        <v>4.2277488294420427E-3</v>
      </c>
      <c r="BF72" s="31">
        <f t="shared" si="21"/>
        <v>0</v>
      </c>
      <c r="BG72" s="40"/>
      <c r="BH72" s="80">
        <f t="shared" si="22"/>
        <v>17.436017402748938</v>
      </c>
      <c r="BI72" s="80">
        <f t="shared" si="23"/>
        <v>11</v>
      </c>
      <c r="BJ72" s="18">
        <f t="shared" si="46"/>
        <v>146763.28079348803</v>
      </c>
      <c r="BK72" s="18">
        <f t="shared" si="47"/>
        <v>102.73429655544165</v>
      </c>
      <c r="BL72" s="31">
        <f t="shared" si="24"/>
        <v>0</v>
      </c>
      <c r="BN72" s="31"/>
      <c r="BO72" s="31"/>
      <c r="BP72" s="31"/>
      <c r="BQ72" s="31">
        <v>-4.1582898740505859E-14</v>
      </c>
      <c r="BR72" s="31">
        <v>0</v>
      </c>
      <c r="BS72" s="31">
        <v>1.8310738902802999E-14</v>
      </c>
      <c r="BT72" s="31">
        <v>-2.8089707213532728E-14</v>
      </c>
      <c r="BU72" s="31">
        <v>4.2624045015548035E-14</v>
      </c>
      <c r="BV72" s="31">
        <v>0</v>
      </c>
      <c r="BW72" s="31">
        <v>0</v>
      </c>
      <c r="BX72" s="31">
        <v>0</v>
      </c>
      <c r="BY72" s="36"/>
      <c r="BZ72" s="36"/>
      <c r="CA72" s="83"/>
      <c r="CB72" s="83"/>
      <c r="CC72" s="83"/>
      <c r="CD72" s="83"/>
      <c r="CE72" s="83"/>
      <c r="CF72" s="83"/>
      <c r="CG72" s="83"/>
      <c r="CI72" s="31"/>
      <c r="CJ72" s="31"/>
    </row>
    <row r="73" spans="1:88" x14ac:dyDescent="0.2">
      <c r="A73" s="14"/>
      <c r="B73" s="14"/>
      <c r="C73" s="14"/>
      <c r="D73" s="14"/>
      <c r="E73" s="14"/>
      <c r="F73" s="14"/>
      <c r="G73" s="79"/>
      <c r="H73" s="42">
        <v>45000</v>
      </c>
      <c r="I73" s="79">
        <f t="shared" si="25"/>
        <v>432.01337080748215</v>
      </c>
      <c r="J73" s="79">
        <f t="shared" si="26"/>
        <v>389353.90946502058</v>
      </c>
      <c r="K73" s="80">
        <f t="shared" si="27"/>
        <v>19.286311196762597</v>
      </c>
      <c r="L73" s="68">
        <f t="shared" si="0"/>
        <v>2.1175871723084751E-2</v>
      </c>
      <c r="M73" s="68">
        <f t="shared" si="1"/>
        <v>2.1175871723084751E-2</v>
      </c>
      <c r="N73" s="31">
        <f t="shared" si="2"/>
        <v>-1.6000000000000458</v>
      </c>
      <c r="O73" s="31">
        <f t="shared" si="3"/>
        <v>-1.6000000000000458</v>
      </c>
      <c r="P73" s="31">
        <f t="shared" si="28"/>
        <v>-4.1582898740505859E-14</v>
      </c>
      <c r="Q73" s="40"/>
      <c r="R73" s="81">
        <f t="shared" si="29"/>
        <v>0.39161108605104566</v>
      </c>
      <c r="S73" s="81">
        <f t="shared" si="4"/>
        <v>0.6</v>
      </c>
      <c r="T73" s="31">
        <f t="shared" si="5"/>
        <v>0</v>
      </c>
      <c r="U73" s="54">
        <f t="shared" si="30"/>
        <v>5224.6633271117971</v>
      </c>
      <c r="V73" s="31">
        <f t="shared" si="31"/>
        <v>8.8819276560900544</v>
      </c>
      <c r="W73" s="40"/>
      <c r="X73" s="17">
        <f t="shared" si="6"/>
        <v>12.45310421388163</v>
      </c>
      <c r="Y73" s="17">
        <f t="shared" si="32"/>
        <v>12.440657334144857</v>
      </c>
      <c r="Z73" s="31">
        <f t="shared" si="7"/>
        <v>23.022511170375903</v>
      </c>
      <c r="AA73" s="31">
        <f t="shared" si="33"/>
        <v>22.000000000000021</v>
      </c>
      <c r="AB73" s="31">
        <f t="shared" si="8"/>
        <v>0</v>
      </c>
      <c r="AC73" s="40"/>
      <c r="AD73" s="79">
        <f t="shared" si="34"/>
        <v>888888.88888888888</v>
      </c>
      <c r="AE73" s="79">
        <f t="shared" si="9"/>
        <v>480000</v>
      </c>
      <c r="AF73" s="31">
        <f t="shared" si="10"/>
        <v>2.3766820879709728E-120</v>
      </c>
      <c r="AG73" s="68">
        <f t="shared" si="11"/>
        <v>2.0033258426966289E-3</v>
      </c>
      <c r="AH73" s="68">
        <f t="shared" si="35"/>
        <v>2.0682335999999998E-3</v>
      </c>
      <c r="AI73" s="31">
        <f t="shared" si="36"/>
        <v>-30.898876404494512</v>
      </c>
      <c r="AJ73" s="31">
        <f t="shared" si="37"/>
        <v>0.49999999999994493</v>
      </c>
      <c r="AK73" s="31">
        <f t="shared" si="12"/>
        <v>-3.812980336615903E-14</v>
      </c>
      <c r="AL73" s="40"/>
      <c r="AM73" s="79">
        <f t="shared" si="13"/>
        <v>35</v>
      </c>
      <c r="AN73" s="79">
        <f t="shared" si="14"/>
        <v>120000</v>
      </c>
      <c r="AO73" s="17"/>
      <c r="AP73" s="68">
        <f t="shared" si="15"/>
        <v>1.1282103896103894E-2</v>
      </c>
      <c r="AQ73" s="68">
        <f t="shared" si="38"/>
        <v>1.1293385999999999E-2</v>
      </c>
      <c r="AR73" s="31">
        <f t="shared" si="39"/>
        <v>3.9960039960038607</v>
      </c>
      <c r="AS73" s="31">
        <f t="shared" si="40"/>
        <v>4.9999999999998934</v>
      </c>
      <c r="AT73" s="31">
        <f t="shared" si="41"/>
        <v>4.2624045015548035E-14</v>
      </c>
      <c r="AU73" s="40"/>
      <c r="AV73" s="82">
        <f t="shared" si="16"/>
        <v>199.72165388603329</v>
      </c>
      <c r="AW73" s="79">
        <f t="shared" si="17"/>
        <v>9000</v>
      </c>
      <c r="AX73" s="18">
        <f t="shared" si="42"/>
        <v>211.04968477493145</v>
      </c>
      <c r="AY73" s="31">
        <f t="shared" si="43"/>
        <v>10.552484238746572</v>
      </c>
      <c r="AZ73" s="31">
        <f t="shared" si="18"/>
        <v>0</v>
      </c>
      <c r="BA73" s="40"/>
      <c r="BB73" s="82">
        <f t="shared" si="19"/>
        <v>92.463728650941334</v>
      </c>
      <c r="BC73" s="79">
        <f t="shared" si="20"/>
        <v>1000</v>
      </c>
      <c r="BD73" s="31">
        <f t="shared" si="44"/>
        <v>0.35231240245350348</v>
      </c>
      <c r="BE73" s="17">
        <f t="shared" si="45"/>
        <v>4.2277488294420427E-3</v>
      </c>
      <c r="BF73" s="31">
        <f t="shared" si="21"/>
        <v>0</v>
      </c>
      <c r="BG73" s="40"/>
      <c r="BH73" s="80">
        <f t="shared" si="22"/>
        <v>17.436017402748938</v>
      </c>
      <c r="BI73" s="80">
        <f t="shared" si="23"/>
        <v>11</v>
      </c>
      <c r="BJ73" s="18">
        <f t="shared" si="46"/>
        <v>146763.28079348803</v>
      </c>
      <c r="BK73" s="18">
        <f t="shared" si="47"/>
        <v>102.73429655544165</v>
      </c>
      <c r="BL73" s="31">
        <f t="shared" si="24"/>
        <v>0</v>
      </c>
      <c r="BN73" s="31"/>
      <c r="BO73" s="31"/>
      <c r="BP73" s="31"/>
      <c r="BQ73" s="31">
        <v>-4.1582898740505859E-14</v>
      </c>
      <c r="BR73" s="31">
        <v>0</v>
      </c>
      <c r="BS73" s="31">
        <v>1.8310738902802999E-14</v>
      </c>
      <c r="BT73" s="31">
        <v>-2.8089707213532728E-14</v>
      </c>
      <c r="BU73" s="31">
        <v>4.2624045015548035E-14</v>
      </c>
      <c r="BV73" s="31">
        <v>0</v>
      </c>
      <c r="BW73" s="31">
        <v>0</v>
      </c>
      <c r="BX73" s="31">
        <v>0</v>
      </c>
      <c r="BY73" s="36"/>
      <c r="BZ73" s="36"/>
      <c r="CA73" s="83"/>
      <c r="CB73" s="83"/>
      <c r="CC73" s="83"/>
      <c r="CD73" s="83"/>
      <c r="CE73" s="83"/>
      <c r="CF73" s="83"/>
      <c r="CG73" s="83"/>
      <c r="CI73" s="31"/>
      <c r="CJ73" s="31"/>
    </row>
    <row r="74" spans="1:88" x14ac:dyDescent="0.2">
      <c r="A74" s="14" t="s">
        <v>118</v>
      </c>
      <c r="B74" s="14"/>
      <c r="C74" s="14"/>
      <c r="D74" s="14"/>
      <c r="E74" s="14"/>
      <c r="F74" s="14"/>
      <c r="G74" s="79"/>
      <c r="H74" s="42">
        <v>60000</v>
      </c>
      <c r="I74" s="79">
        <f t="shared" si="25"/>
        <v>432.01337080748215</v>
      </c>
      <c r="J74" s="79">
        <f t="shared" si="26"/>
        <v>389353.90946502058</v>
      </c>
      <c r="K74" s="80">
        <f t="shared" si="27"/>
        <v>19.286311196762597</v>
      </c>
      <c r="L74" s="68">
        <f t="shared" si="0"/>
        <v>2.1175871723084751E-2</v>
      </c>
      <c r="M74" s="68">
        <f t="shared" si="1"/>
        <v>2.1175871723084751E-2</v>
      </c>
      <c r="N74" s="31">
        <f t="shared" si="2"/>
        <v>-1.6000000000000458</v>
      </c>
      <c r="O74" s="31">
        <f t="shared" si="3"/>
        <v>-1.6000000000000458</v>
      </c>
      <c r="P74" s="31">
        <f t="shared" si="28"/>
        <v>-4.1582898740505859E-14</v>
      </c>
      <c r="Q74" s="40"/>
      <c r="R74" s="81">
        <f t="shared" si="29"/>
        <v>0.39161108605104566</v>
      </c>
      <c r="S74" s="81">
        <f t="shared" si="4"/>
        <v>0.6</v>
      </c>
      <c r="T74" s="31">
        <f t="shared" si="5"/>
        <v>0</v>
      </c>
      <c r="U74" s="54">
        <f t="shared" si="30"/>
        <v>5224.6633271117971</v>
      </c>
      <c r="V74" s="31">
        <f t="shared" si="31"/>
        <v>8.8819276560900544</v>
      </c>
      <c r="W74" s="40"/>
      <c r="X74" s="17">
        <f t="shared" si="6"/>
        <v>12.45310421388163</v>
      </c>
      <c r="Y74" s="17">
        <f t="shared" si="32"/>
        <v>12.440657334144857</v>
      </c>
      <c r="Z74" s="31">
        <f t="shared" si="7"/>
        <v>23.022511170375903</v>
      </c>
      <c r="AA74" s="31">
        <f t="shared" si="33"/>
        <v>22.000000000000021</v>
      </c>
      <c r="AB74" s="31">
        <f t="shared" si="8"/>
        <v>0</v>
      </c>
      <c r="AC74" s="40"/>
      <c r="AD74" s="79">
        <f t="shared" si="34"/>
        <v>888888.88888888888</v>
      </c>
      <c r="AE74" s="79">
        <f t="shared" si="9"/>
        <v>480000</v>
      </c>
      <c r="AF74" s="31">
        <f t="shared" si="10"/>
        <v>3.1717196352294831E-160</v>
      </c>
      <c r="AG74" s="68">
        <f t="shared" si="11"/>
        <v>2.0033258426966289E-3</v>
      </c>
      <c r="AH74" s="68">
        <f t="shared" si="35"/>
        <v>2.0682335999999998E-3</v>
      </c>
      <c r="AI74" s="31">
        <f t="shared" si="36"/>
        <v>-30.898876404494512</v>
      </c>
      <c r="AJ74" s="31">
        <f t="shared" si="37"/>
        <v>0.49999999999994493</v>
      </c>
      <c r="AK74" s="31">
        <f t="shared" si="12"/>
        <v>-3.812980336615903E-14</v>
      </c>
      <c r="AL74" s="40"/>
      <c r="AM74" s="79">
        <f t="shared" si="13"/>
        <v>35</v>
      </c>
      <c r="AN74" s="79">
        <f t="shared" si="14"/>
        <v>120000</v>
      </c>
      <c r="AO74" s="17"/>
      <c r="AP74" s="68">
        <f t="shared" si="15"/>
        <v>1.1282103896103894E-2</v>
      </c>
      <c r="AQ74" s="68">
        <f t="shared" si="38"/>
        <v>1.1293385999999999E-2</v>
      </c>
      <c r="AR74" s="31">
        <f t="shared" si="39"/>
        <v>3.9960039960038607</v>
      </c>
      <c r="AS74" s="31">
        <f t="shared" si="40"/>
        <v>4.9999999999998934</v>
      </c>
      <c r="AT74" s="31">
        <f t="shared" si="41"/>
        <v>4.2624045015548035E-14</v>
      </c>
      <c r="AU74" s="40"/>
      <c r="AV74" s="82">
        <f t="shared" si="16"/>
        <v>199.72165388603329</v>
      </c>
      <c r="AW74" s="79">
        <f t="shared" si="17"/>
        <v>9000</v>
      </c>
      <c r="AX74" s="18">
        <f t="shared" si="42"/>
        <v>211.04968477493145</v>
      </c>
      <c r="AY74" s="31">
        <f t="shared" si="43"/>
        <v>10.552484238746572</v>
      </c>
      <c r="AZ74" s="31">
        <f t="shared" si="18"/>
        <v>0</v>
      </c>
      <c r="BA74" s="40"/>
      <c r="BB74" s="82">
        <f t="shared" si="19"/>
        <v>92.463728650941334</v>
      </c>
      <c r="BC74" s="79">
        <f t="shared" si="20"/>
        <v>1000</v>
      </c>
      <c r="BD74" s="31">
        <f t="shared" si="44"/>
        <v>0.35231240245350348</v>
      </c>
      <c r="BE74" s="17">
        <f t="shared" si="45"/>
        <v>4.2277488294420427E-3</v>
      </c>
      <c r="BF74" s="31">
        <f t="shared" si="21"/>
        <v>0</v>
      </c>
      <c r="BG74" s="40"/>
      <c r="BH74" s="80">
        <f t="shared" si="22"/>
        <v>17.436017402748938</v>
      </c>
      <c r="BI74" s="80">
        <f t="shared" si="23"/>
        <v>11</v>
      </c>
      <c r="BJ74" s="18">
        <f t="shared" si="46"/>
        <v>146763.28079348803</v>
      </c>
      <c r="BK74" s="18">
        <f t="shared" si="47"/>
        <v>102.73429655544165</v>
      </c>
      <c r="BL74" s="31">
        <f t="shared" si="24"/>
        <v>0</v>
      </c>
      <c r="BN74" s="31"/>
      <c r="BO74" s="31"/>
      <c r="BP74" s="31"/>
      <c r="BQ74" s="31">
        <v>-4.1582898740505859E-14</v>
      </c>
      <c r="BR74" s="31">
        <v>0</v>
      </c>
      <c r="BS74" s="31">
        <v>1.8310738902802999E-14</v>
      </c>
      <c r="BT74" s="31">
        <v>-2.8089707213532728E-14</v>
      </c>
      <c r="BU74" s="31">
        <v>4.2624045015548035E-14</v>
      </c>
      <c r="BV74" s="31">
        <v>0</v>
      </c>
      <c r="BW74" s="31">
        <v>0</v>
      </c>
      <c r="BX74" s="31">
        <v>0</v>
      </c>
      <c r="BY74" s="36"/>
      <c r="BZ74" s="36"/>
      <c r="CA74" s="83"/>
      <c r="CB74" s="83"/>
      <c r="CC74" s="83"/>
      <c r="CD74" s="83"/>
      <c r="CE74" s="83"/>
      <c r="CF74" s="83"/>
      <c r="CG74" s="83"/>
      <c r="CI74" s="31"/>
      <c r="CJ74" s="31"/>
    </row>
    <row r="75" spans="1:88" x14ac:dyDescent="0.2">
      <c r="A75" s="14" t="s">
        <v>119</v>
      </c>
      <c r="B75" s="14"/>
      <c r="C75" s="14"/>
      <c r="D75" s="14"/>
      <c r="E75" s="14"/>
      <c r="F75" s="14"/>
      <c r="G75" s="79"/>
      <c r="H75" s="42">
        <v>75000</v>
      </c>
      <c r="I75" s="79">
        <f t="shared" si="25"/>
        <v>432.01337080748215</v>
      </c>
      <c r="J75" s="79">
        <f t="shared" si="26"/>
        <v>389353.90946502058</v>
      </c>
      <c r="K75" s="80">
        <f t="shared" si="27"/>
        <v>19.286311196762597</v>
      </c>
      <c r="L75" s="68">
        <f t="shared" si="0"/>
        <v>2.1175871723084751E-2</v>
      </c>
      <c r="M75" s="68">
        <f t="shared" si="1"/>
        <v>2.1175871723084751E-2</v>
      </c>
      <c r="N75" s="31">
        <f t="shared" si="2"/>
        <v>-1.6000000000000458</v>
      </c>
      <c r="O75" s="31">
        <f t="shared" si="3"/>
        <v>-1.6000000000000458</v>
      </c>
      <c r="P75" s="31">
        <f t="shared" si="28"/>
        <v>-4.1582898740505859E-14</v>
      </c>
      <c r="Q75" s="40"/>
      <c r="R75" s="81">
        <f t="shared" si="29"/>
        <v>0.39161108605104566</v>
      </c>
      <c r="S75" s="81">
        <f t="shared" si="4"/>
        <v>0.6</v>
      </c>
      <c r="T75" s="31">
        <f t="shared" si="5"/>
        <v>0</v>
      </c>
      <c r="U75" s="54">
        <f t="shared" si="30"/>
        <v>5224.6633271117971</v>
      </c>
      <c r="V75" s="31">
        <f t="shared" si="31"/>
        <v>8.8819276560900544</v>
      </c>
      <c r="W75" s="40"/>
      <c r="X75" s="17">
        <f t="shared" si="6"/>
        <v>12.45310421388163</v>
      </c>
      <c r="Y75" s="17">
        <f t="shared" si="32"/>
        <v>12.440657334144857</v>
      </c>
      <c r="Z75" s="31">
        <f t="shared" si="7"/>
        <v>23.022511170375903</v>
      </c>
      <c r="AA75" s="31">
        <f t="shared" si="33"/>
        <v>22.000000000000021</v>
      </c>
      <c r="AB75" s="31">
        <f t="shared" si="8"/>
        <v>0</v>
      </c>
      <c r="AC75" s="40"/>
      <c r="AD75" s="79">
        <f t="shared" si="34"/>
        <v>888888.88888888888</v>
      </c>
      <c r="AE75" s="79">
        <f t="shared" si="9"/>
        <v>480000</v>
      </c>
      <c r="AF75" s="31">
        <f t="shared" si="10"/>
        <v>4.2327097491987672E-200</v>
      </c>
      <c r="AG75" s="68">
        <f t="shared" si="11"/>
        <v>2.0033258426966289E-3</v>
      </c>
      <c r="AH75" s="68">
        <f t="shared" si="35"/>
        <v>2.0682335999999998E-3</v>
      </c>
      <c r="AI75" s="31">
        <f t="shared" si="36"/>
        <v>-30.898876404494512</v>
      </c>
      <c r="AJ75" s="31">
        <f t="shared" si="37"/>
        <v>0.49999999999994493</v>
      </c>
      <c r="AK75" s="31">
        <f t="shared" si="12"/>
        <v>-3.812980336615903E-14</v>
      </c>
      <c r="AL75" s="40"/>
      <c r="AM75" s="79">
        <f t="shared" si="13"/>
        <v>35</v>
      </c>
      <c r="AN75" s="79">
        <f t="shared" si="14"/>
        <v>120000</v>
      </c>
      <c r="AO75" s="17"/>
      <c r="AP75" s="68">
        <f t="shared" si="15"/>
        <v>1.1282103896103894E-2</v>
      </c>
      <c r="AQ75" s="68">
        <f t="shared" si="38"/>
        <v>1.1293385999999999E-2</v>
      </c>
      <c r="AR75" s="31">
        <f t="shared" si="39"/>
        <v>3.9960039960038607</v>
      </c>
      <c r="AS75" s="31">
        <f t="shared" si="40"/>
        <v>4.9999999999998934</v>
      </c>
      <c r="AT75" s="31">
        <f t="shared" si="41"/>
        <v>4.2624045015548035E-14</v>
      </c>
      <c r="AU75" s="40"/>
      <c r="AV75" s="82">
        <f t="shared" si="16"/>
        <v>199.72165388603329</v>
      </c>
      <c r="AW75" s="79">
        <f t="shared" si="17"/>
        <v>9000</v>
      </c>
      <c r="AX75" s="18">
        <f t="shared" si="42"/>
        <v>211.04968477493145</v>
      </c>
      <c r="AY75" s="31">
        <f t="shared" si="43"/>
        <v>10.552484238746572</v>
      </c>
      <c r="AZ75" s="31">
        <f t="shared" si="18"/>
        <v>0</v>
      </c>
      <c r="BA75" s="40"/>
      <c r="BB75" s="82">
        <f t="shared" si="19"/>
        <v>92.463728650941334</v>
      </c>
      <c r="BC75" s="79">
        <f t="shared" si="20"/>
        <v>1000</v>
      </c>
      <c r="BD75" s="31">
        <f t="shared" si="44"/>
        <v>0.35231240245350348</v>
      </c>
      <c r="BE75" s="17">
        <f t="shared" si="45"/>
        <v>4.2277488294420427E-3</v>
      </c>
      <c r="BF75" s="31">
        <f t="shared" si="21"/>
        <v>0</v>
      </c>
      <c r="BG75" s="40"/>
      <c r="BH75" s="80">
        <f t="shared" si="22"/>
        <v>17.436017402748938</v>
      </c>
      <c r="BI75" s="80">
        <f t="shared" si="23"/>
        <v>11</v>
      </c>
      <c r="BJ75" s="18">
        <f t="shared" si="46"/>
        <v>146763.28079348803</v>
      </c>
      <c r="BK75" s="18">
        <f t="shared" si="47"/>
        <v>102.73429655544165</v>
      </c>
      <c r="BL75" s="31">
        <f t="shared" si="24"/>
        <v>0</v>
      </c>
      <c r="BN75" s="31"/>
      <c r="BO75" s="31"/>
      <c r="BP75" s="31"/>
      <c r="BQ75" s="31">
        <v>-4.1582898740505859E-14</v>
      </c>
      <c r="BR75" s="31">
        <v>0</v>
      </c>
      <c r="BS75" s="31">
        <v>1.8310738902802999E-14</v>
      </c>
      <c r="BT75" s="31">
        <v>-2.8089707213532728E-14</v>
      </c>
      <c r="BU75" s="31">
        <v>4.2624045015548035E-14</v>
      </c>
      <c r="BV75" s="31">
        <v>0</v>
      </c>
      <c r="BW75" s="31">
        <v>0</v>
      </c>
      <c r="BX75" s="31">
        <v>0</v>
      </c>
      <c r="BY75" s="36"/>
      <c r="BZ75" s="36"/>
      <c r="CA75" s="83"/>
      <c r="CB75" s="83"/>
      <c r="CC75" s="83"/>
      <c r="CD75" s="83"/>
      <c r="CE75" s="83"/>
      <c r="CF75" s="83"/>
      <c r="CG75" s="83"/>
      <c r="CI75" s="31"/>
      <c r="CJ75" s="31"/>
    </row>
    <row r="76" spans="1:88" x14ac:dyDescent="0.2">
      <c r="C76" s="54"/>
      <c r="F76" s="31"/>
      <c r="G76" s="79"/>
      <c r="H76" s="42">
        <v>90000</v>
      </c>
      <c r="I76" s="79">
        <f t="shared" si="25"/>
        <v>432.01337080748215</v>
      </c>
      <c r="J76" s="79">
        <f t="shared" si="26"/>
        <v>389353.90946502058</v>
      </c>
      <c r="K76" s="80">
        <f t="shared" si="27"/>
        <v>19.286311196762597</v>
      </c>
      <c r="L76" s="68">
        <f t="shared" si="0"/>
        <v>2.1175871723084751E-2</v>
      </c>
      <c r="M76" s="68">
        <f t="shared" si="1"/>
        <v>2.1175871723084751E-2</v>
      </c>
      <c r="N76" s="31">
        <f t="shared" si="2"/>
        <v>-1.6000000000000458</v>
      </c>
      <c r="O76" s="31">
        <f t="shared" si="3"/>
        <v>-1.6000000000000458</v>
      </c>
      <c r="P76" s="31">
        <f t="shared" si="28"/>
        <v>-4.1582898740505859E-14</v>
      </c>
      <c r="Q76" s="40"/>
      <c r="R76" s="81">
        <f t="shared" si="29"/>
        <v>0.39161108605104566</v>
      </c>
      <c r="S76" s="81">
        <f t="shared" si="4"/>
        <v>0.6</v>
      </c>
      <c r="T76" s="31">
        <f t="shared" si="5"/>
        <v>0</v>
      </c>
      <c r="U76" s="54">
        <f t="shared" si="30"/>
        <v>5224.6633271117971</v>
      </c>
      <c r="V76" s="31">
        <f t="shared" si="31"/>
        <v>8.8819276560900544</v>
      </c>
      <c r="W76" s="40"/>
      <c r="X76" s="17">
        <f t="shared" si="6"/>
        <v>12.45310421388163</v>
      </c>
      <c r="Y76" s="17">
        <f t="shared" si="32"/>
        <v>12.440657334144857</v>
      </c>
      <c r="Z76" s="31">
        <f t="shared" si="7"/>
        <v>23.022511170375903</v>
      </c>
      <c r="AA76" s="31">
        <f t="shared" si="33"/>
        <v>22.000000000000021</v>
      </c>
      <c r="AB76" s="31">
        <f t="shared" si="8"/>
        <v>0</v>
      </c>
      <c r="AC76" s="40"/>
      <c r="AD76" s="79">
        <f t="shared" si="34"/>
        <v>888888.88888888888</v>
      </c>
      <c r="AE76" s="79">
        <f t="shared" si="9"/>
        <v>480000</v>
      </c>
      <c r="AF76" s="31">
        <f t="shared" si="10"/>
        <v>5.6486177472820631E-240</v>
      </c>
      <c r="AG76" s="68">
        <f t="shared" si="11"/>
        <v>2.0033258426966289E-3</v>
      </c>
      <c r="AH76" s="68">
        <f t="shared" si="35"/>
        <v>2.0682335999999998E-3</v>
      </c>
      <c r="AI76" s="31">
        <f t="shared" si="36"/>
        <v>-30.898876404494512</v>
      </c>
      <c r="AJ76" s="31">
        <f t="shared" si="37"/>
        <v>0.49999999999994493</v>
      </c>
      <c r="AK76" s="31">
        <f t="shared" si="12"/>
        <v>-3.812980336615903E-14</v>
      </c>
      <c r="AL76" s="40"/>
      <c r="AM76" s="79">
        <f t="shared" si="13"/>
        <v>35</v>
      </c>
      <c r="AN76" s="79">
        <f t="shared" si="14"/>
        <v>120000</v>
      </c>
      <c r="AO76" s="17"/>
      <c r="AP76" s="68">
        <f t="shared" si="15"/>
        <v>1.1282103896103894E-2</v>
      </c>
      <c r="AQ76" s="68">
        <f t="shared" si="38"/>
        <v>1.1293385999999999E-2</v>
      </c>
      <c r="AR76" s="31">
        <f t="shared" si="39"/>
        <v>3.9960039960038607</v>
      </c>
      <c r="AS76" s="31">
        <f t="shared" si="40"/>
        <v>4.9999999999998934</v>
      </c>
      <c r="AT76" s="31">
        <f t="shared" si="41"/>
        <v>4.2624045015548035E-14</v>
      </c>
      <c r="AU76" s="40"/>
      <c r="AV76" s="82">
        <f t="shared" si="16"/>
        <v>199.72165388603329</v>
      </c>
      <c r="AW76" s="79">
        <f t="shared" si="17"/>
        <v>9000</v>
      </c>
      <c r="AX76" s="18">
        <f t="shared" si="42"/>
        <v>211.04968477493145</v>
      </c>
      <c r="AY76" s="31">
        <f t="shared" si="43"/>
        <v>10.552484238746572</v>
      </c>
      <c r="AZ76" s="31">
        <f t="shared" si="18"/>
        <v>0</v>
      </c>
      <c r="BA76" s="40"/>
      <c r="BB76" s="82">
        <f t="shared" si="19"/>
        <v>92.463728650941334</v>
      </c>
      <c r="BC76" s="79">
        <f t="shared" si="20"/>
        <v>1000</v>
      </c>
      <c r="BD76" s="31">
        <f t="shared" si="44"/>
        <v>0.35231240245350348</v>
      </c>
      <c r="BE76" s="17">
        <f t="shared" si="45"/>
        <v>4.2277488294420427E-3</v>
      </c>
      <c r="BF76" s="31">
        <f t="shared" si="21"/>
        <v>0</v>
      </c>
      <c r="BG76" s="40"/>
      <c r="BH76" s="80">
        <f t="shared" si="22"/>
        <v>17.436017402748938</v>
      </c>
      <c r="BI76" s="80">
        <f t="shared" si="23"/>
        <v>11</v>
      </c>
      <c r="BJ76" s="18">
        <f t="shared" si="46"/>
        <v>146763.28079348803</v>
      </c>
      <c r="BK76" s="18">
        <f t="shared" si="47"/>
        <v>102.73429655544165</v>
      </c>
      <c r="BL76" s="31">
        <f t="shared" si="24"/>
        <v>0</v>
      </c>
      <c r="BN76" s="31"/>
      <c r="BO76" s="31"/>
      <c r="BP76" s="31"/>
      <c r="BQ76" s="31">
        <v>-4.1582898740505859E-14</v>
      </c>
      <c r="BR76" s="31">
        <v>0</v>
      </c>
      <c r="BS76" s="31">
        <v>1.8310738902802999E-14</v>
      </c>
      <c r="BT76" s="31">
        <v>-2.8089707213532728E-14</v>
      </c>
      <c r="BU76" s="31">
        <v>4.2624045015548035E-14</v>
      </c>
      <c r="BV76" s="31">
        <v>0</v>
      </c>
      <c r="BW76" s="31">
        <v>0</v>
      </c>
      <c r="BX76" s="31">
        <v>0</v>
      </c>
      <c r="BY76" s="36"/>
      <c r="BZ76" s="36"/>
      <c r="CA76" s="83"/>
      <c r="CB76" s="83"/>
      <c r="CC76" s="83"/>
      <c r="CD76" s="83"/>
      <c r="CE76" s="83"/>
      <c r="CF76" s="83"/>
      <c r="CG76" s="83"/>
      <c r="CI76" s="31"/>
      <c r="CJ76" s="31"/>
    </row>
    <row r="77" spans="1:88" x14ac:dyDescent="0.2">
      <c r="C77" s="54"/>
      <c r="F77" s="31"/>
      <c r="G77" s="79"/>
      <c r="H77" s="42">
        <v>105000</v>
      </c>
      <c r="I77" s="79">
        <f t="shared" si="25"/>
        <v>432.01337080748215</v>
      </c>
      <c r="J77" s="79">
        <f t="shared" si="26"/>
        <v>389353.90946502058</v>
      </c>
      <c r="K77" s="80">
        <f t="shared" si="27"/>
        <v>19.286311196762597</v>
      </c>
      <c r="L77" s="68">
        <f t="shared" si="0"/>
        <v>2.1175871723084751E-2</v>
      </c>
      <c r="M77" s="68">
        <f t="shared" si="1"/>
        <v>2.1175871723084751E-2</v>
      </c>
      <c r="N77" s="31">
        <f t="shared" si="2"/>
        <v>-1.6000000000000458</v>
      </c>
      <c r="O77" s="31">
        <f t="shared" si="3"/>
        <v>-1.6000000000000458</v>
      </c>
      <c r="P77" s="31">
        <f t="shared" si="28"/>
        <v>-4.1582898740505859E-14</v>
      </c>
      <c r="Q77" s="40"/>
      <c r="R77" s="81">
        <f t="shared" si="29"/>
        <v>0.39161108605104566</v>
      </c>
      <c r="S77" s="81">
        <f t="shared" si="4"/>
        <v>0.6</v>
      </c>
      <c r="T77" s="31">
        <f t="shared" si="5"/>
        <v>0</v>
      </c>
      <c r="U77" s="54">
        <f t="shared" si="30"/>
        <v>5224.6633271117971</v>
      </c>
      <c r="V77" s="31">
        <f t="shared" si="31"/>
        <v>8.8819276560900544</v>
      </c>
      <c r="W77" s="40"/>
      <c r="X77" s="17">
        <f t="shared" si="6"/>
        <v>12.45310421388163</v>
      </c>
      <c r="Y77" s="17">
        <f t="shared" si="32"/>
        <v>12.440657334144857</v>
      </c>
      <c r="Z77" s="31">
        <f t="shared" si="7"/>
        <v>23.022511170375903</v>
      </c>
      <c r="AA77" s="31">
        <f t="shared" si="33"/>
        <v>22.000000000000021</v>
      </c>
      <c r="AB77" s="31">
        <f t="shared" si="8"/>
        <v>0</v>
      </c>
      <c r="AC77" s="40"/>
      <c r="AD77" s="79">
        <f t="shared" si="34"/>
        <v>888888.88888888888</v>
      </c>
      <c r="AE77" s="79">
        <f t="shared" si="9"/>
        <v>480000</v>
      </c>
      <c r="AF77" s="31">
        <f t="shared" si="10"/>
        <v>7.5381692451157413E-280</v>
      </c>
      <c r="AG77" s="68">
        <f t="shared" si="11"/>
        <v>2.0033258426966289E-3</v>
      </c>
      <c r="AH77" s="68">
        <f t="shared" si="35"/>
        <v>2.0682335999999998E-3</v>
      </c>
      <c r="AI77" s="31">
        <f t="shared" si="36"/>
        <v>-30.898876404494512</v>
      </c>
      <c r="AJ77" s="31">
        <f t="shared" si="37"/>
        <v>0.49999999999994493</v>
      </c>
      <c r="AK77" s="31">
        <f t="shared" si="12"/>
        <v>-3.812980336615903E-14</v>
      </c>
      <c r="AL77" s="40"/>
      <c r="AM77" s="79">
        <f t="shared" si="13"/>
        <v>35</v>
      </c>
      <c r="AN77" s="79">
        <f t="shared" si="14"/>
        <v>120000</v>
      </c>
      <c r="AO77" s="17"/>
      <c r="AP77" s="68">
        <f t="shared" si="15"/>
        <v>1.1282103896103894E-2</v>
      </c>
      <c r="AQ77" s="68">
        <f t="shared" si="38"/>
        <v>1.1293385999999999E-2</v>
      </c>
      <c r="AR77" s="31">
        <f t="shared" si="39"/>
        <v>3.9960039960038607</v>
      </c>
      <c r="AS77" s="31">
        <f t="shared" si="40"/>
        <v>4.9999999999998934</v>
      </c>
      <c r="AT77" s="31">
        <f t="shared" si="41"/>
        <v>4.2624045015548035E-14</v>
      </c>
      <c r="AU77" s="40"/>
      <c r="AV77" s="82">
        <f t="shared" si="16"/>
        <v>199.72165388603329</v>
      </c>
      <c r="AW77" s="79">
        <f t="shared" si="17"/>
        <v>9000</v>
      </c>
      <c r="AX77" s="18">
        <f t="shared" si="42"/>
        <v>211.04968477493145</v>
      </c>
      <c r="AY77" s="31">
        <f t="shared" si="43"/>
        <v>10.552484238746572</v>
      </c>
      <c r="AZ77" s="31">
        <f t="shared" si="18"/>
        <v>0</v>
      </c>
      <c r="BA77" s="40"/>
      <c r="BB77" s="82">
        <f t="shared" si="19"/>
        <v>92.463728650941334</v>
      </c>
      <c r="BC77" s="79">
        <f t="shared" si="20"/>
        <v>1000</v>
      </c>
      <c r="BD77" s="31">
        <f t="shared" si="44"/>
        <v>0.35231240245350348</v>
      </c>
      <c r="BE77" s="17">
        <f t="shared" si="45"/>
        <v>4.2277488294420427E-3</v>
      </c>
      <c r="BF77" s="31">
        <f t="shared" si="21"/>
        <v>0</v>
      </c>
      <c r="BG77" s="40"/>
      <c r="BH77" s="80">
        <f t="shared" si="22"/>
        <v>17.436017402748938</v>
      </c>
      <c r="BI77" s="80">
        <f t="shared" si="23"/>
        <v>11</v>
      </c>
      <c r="BJ77" s="18">
        <f t="shared" si="46"/>
        <v>146763.28079348803</v>
      </c>
      <c r="BK77" s="18">
        <f t="shared" si="47"/>
        <v>102.73429655544165</v>
      </c>
      <c r="BL77" s="31">
        <f t="shared" si="24"/>
        <v>0</v>
      </c>
      <c r="BN77" s="31"/>
      <c r="BO77" s="31"/>
      <c r="BP77" s="31"/>
      <c r="BQ77" s="31">
        <v>-4.1582898740505859E-14</v>
      </c>
      <c r="BR77" s="31">
        <v>0</v>
      </c>
      <c r="BS77" s="31">
        <v>1.8310738902802999E-14</v>
      </c>
      <c r="BT77" s="31">
        <v>-2.8089707213532728E-14</v>
      </c>
      <c r="BU77" s="31">
        <v>4.2624045015548035E-14</v>
      </c>
      <c r="BV77" s="31">
        <v>0</v>
      </c>
      <c r="BW77" s="31">
        <v>0</v>
      </c>
      <c r="BX77" s="31">
        <v>0</v>
      </c>
      <c r="BY77" s="36"/>
      <c r="BZ77" s="36"/>
      <c r="CA77" s="83"/>
      <c r="CB77" s="83"/>
      <c r="CC77" s="83"/>
      <c r="CD77" s="83"/>
      <c r="CE77" s="83"/>
      <c r="CF77" s="83"/>
      <c r="CG77" s="83"/>
      <c r="CI77" s="31"/>
      <c r="CJ77" s="31"/>
    </row>
    <row r="78" spans="1:88" x14ac:dyDescent="0.2">
      <c r="C78" s="54"/>
      <c r="F78" s="31"/>
      <c r="G78" s="79"/>
      <c r="H78" s="42">
        <v>120000</v>
      </c>
      <c r="I78" s="79">
        <f t="shared" si="25"/>
        <v>432.01337080748215</v>
      </c>
      <c r="J78" s="79">
        <f t="shared" si="26"/>
        <v>389353.90946502058</v>
      </c>
      <c r="K78" s="80">
        <f t="shared" si="27"/>
        <v>19.286311196762597</v>
      </c>
      <c r="L78" s="68">
        <f t="shared" si="0"/>
        <v>2.1175871723084751E-2</v>
      </c>
      <c r="M78" s="68">
        <f t="shared" si="1"/>
        <v>2.1175871723084751E-2</v>
      </c>
      <c r="N78" s="31">
        <f t="shared" si="2"/>
        <v>-1.6000000000000458</v>
      </c>
      <c r="O78" s="31">
        <f t="shared" si="3"/>
        <v>-1.6000000000000458</v>
      </c>
      <c r="P78" s="31">
        <f t="shared" si="28"/>
        <v>-4.1582898740505859E-14</v>
      </c>
      <c r="Q78" s="40"/>
      <c r="R78" s="81">
        <f t="shared" si="29"/>
        <v>0.39161108605104566</v>
      </c>
      <c r="S78" s="81">
        <f t="shared" si="4"/>
        <v>0.6</v>
      </c>
      <c r="T78" s="31">
        <f t="shared" si="5"/>
        <v>0</v>
      </c>
      <c r="U78" s="54">
        <f t="shared" si="30"/>
        <v>5224.6633271117971</v>
      </c>
      <c r="V78" s="31">
        <f t="shared" si="31"/>
        <v>8.8819276560900544</v>
      </c>
      <c r="W78" s="40"/>
      <c r="X78" s="17">
        <f t="shared" si="6"/>
        <v>12.45310421388163</v>
      </c>
      <c r="Y78" s="17">
        <f t="shared" si="32"/>
        <v>12.440657334144857</v>
      </c>
      <c r="Z78" s="31">
        <f t="shared" si="7"/>
        <v>23.022511170375903</v>
      </c>
      <c r="AA78" s="31">
        <f t="shared" si="33"/>
        <v>22.000000000000021</v>
      </c>
      <c r="AB78" s="31">
        <f t="shared" si="8"/>
        <v>0</v>
      </c>
      <c r="AC78" s="40"/>
      <c r="AD78" s="79">
        <f t="shared" si="34"/>
        <v>888888.88888888888</v>
      </c>
      <c r="AE78" s="79">
        <f t="shared" si="9"/>
        <v>480000</v>
      </c>
      <c r="AF78" s="31">
        <f t="shared" si="10"/>
        <v>0</v>
      </c>
      <c r="AG78" s="68">
        <f t="shared" si="11"/>
        <v>2.0033258426966289E-3</v>
      </c>
      <c r="AH78" s="68">
        <f t="shared" si="35"/>
        <v>2.0682335999999998E-3</v>
      </c>
      <c r="AI78" s="31">
        <f t="shared" si="36"/>
        <v>-30.898876404494512</v>
      </c>
      <c r="AJ78" s="31">
        <f t="shared" si="37"/>
        <v>0.49999999999994493</v>
      </c>
      <c r="AK78" s="31">
        <f t="shared" si="12"/>
        <v>-3.812980336615903E-14</v>
      </c>
      <c r="AL78" s="40"/>
      <c r="AM78" s="79">
        <f t="shared" si="13"/>
        <v>35</v>
      </c>
      <c r="AN78" s="79">
        <f t="shared" si="14"/>
        <v>120000</v>
      </c>
      <c r="AO78" s="17"/>
      <c r="AP78" s="68">
        <f t="shared" si="15"/>
        <v>1.1282103896103894E-2</v>
      </c>
      <c r="AQ78" s="68">
        <f t="shared" si="38"/>
        <v>1.1293385999999999E-2</v>
      </c>
      <c r="AR78" s="31">
        <f t="shared" si="39"/>
        <v>3.9960039960038607</v>
      </c>
      <c r="AS78" s="31">
        <f t="shared" si="40"/>
        <v>4.9999999999998934</v>
      </c>
      <c r="AT78" s="31">
        <f t="shared" si="41"/>
        <v>4.2624045015548035E-14</v>
      </c>
      <c r="AU78" s="40"/>
      <c r="AV78" s="82">
        <f t="shared" si="16"/>
        <v>199.72165388603329</v>
      </c>
      <c r="AW78" s="79">
        <f t="shared" si="17"/>
        <v>9000</v>
      </c>
      <c r="AX78" s="18">
        <f t="shared" si="42"/>
        <v>211.04968477493145</v>
      </c>
      <c r="AY78" s="31">
        <f t="shared" si="43"/>
        <v>10.552484238746572</v>
      </c>
      <c r="AZ78" s="31">
        <f t="shared" si="18"/>
        <v>0</v>
      </c>
      <c r="BA78" s="40"/>
      <c r="BB78" s="82">
        <f t="shared" si="19"/>
        <v>92.463728650941334</v>
      </c>
      <c r="BC78" s="79">
        <f t="shared" si="20"/>
        <v>1000</v>
      </c>
      <c r="BD78" s="31">
        <f t="shared" si="44"/>
        <v>0.35231240245350348</v>
      </c>
      <c r="BE78" s="17">
        <f t="shared" si="45"/>
        <v>4.2277488294420427E-3</v>
      </c>
      <c r="BF78" s="31">
        <f t="shared" si="21"/>
        <v>0</v>
      </c>
      <c r="BG78" s="40"/>
      <c r="BH78" s="80">
        <f t="shared" si="22"/>
        <v>17.436017402748938</v>
      </c>
      <c r="BI78" s="80">
        <f t="shared" si="23"/>
        <v>11</v>
      </c>
      <c r="BJ78" s="18">
        <f t="shared" si="46"/>
        <v>146763.28079348803</v>
      </c>
      <c r="BK78" s="18">
        <f t="shared" si="47"/>
        <v>102.73429655544165</v>
      </c>
      <c r="BL78" s="31">
        <f t="shared" si="24"/>
        <v>0</v>
      </c>
      <c r="BN78" s="31"/>
      <c r="BO78" s="31"/>
      <c r="BP78" s="31"/>
      <c r="BQ78" s="31">
        <v>-4.1582898740505859E-14</v>
      </c>
      <c r="BR78" s="31">
        <v>0</v>
      </c>
      <c r="BS78" s="31">
        <v>1.8310738902802999E-14</v>
      </c>
      <c r="BT78" s="31">
        <v>-2.8089707213532728E-14</v>
      </c>
      <c r="BU78" s="31">
        <v>4.2624045015548035E-14</v>
      </c>
      <c r="BV78" s="31">
        <v>0</v>
      </c>
      <c r="BW78" s="31">
        <v>0</v>
      </c>
      <c r="BX78" s="31">
        <v>0</v>
      </c>
      <c r="BY78" s="36"/>
      <c r="BZ78" s="36"/>
      <c r="CA78" s="83"/>
      <c r="CB78" s="83"/>
      <c r="CC78" s="83"/>
      <c r="CD78" s="83"/>
      <c r="CE78" s="83"/>
      <c r="CF78" s="83"/>
      <c r="CG78" s="83"/>
      <c r="CI78" s="31"/>
      <c r="CJ78" s="31"/>
    </row>
    <row r="79" spans="1:88" x14ac:dyDescent="0.2">
      <c r="C79" s="54"/>
      <c r="F79" s="31"/>
      <c r="G79" s="79"/>
      <c r="H79" s="42">
        <v>135000</v>
      </c>
      <c r="I79" s="79">
        <f t="shared" si="25"/>
        <v>432.01337080748215</v>
      </c>
      <c r="J79" s="79">
        <f t="shared" si="26"/>
        <v>389353.90946502058</v>
      </c>
      <c r="K79" s="80">
        <f t="shared" si="27"/>
        <v>19.286311196762597</v>
      </c>
      <c r="L79" s="68">
        <f t="shared" si="0"/>
        <v>2.1175871723084751E-2</v>
      </c>
      <c r="M79" s="68">
        <f t="shared" si="1"/>
        <v>2.1175871723084751E-2</v>
      </c>
      <c r="N79" s="31">
        <f t="shared" si="2"/>
        <v>-1.6000000000000458</v>
      </c>
      <c r="O79" s="31">
        <f t="shared" si="3"/>
        <v>-1.6000000000000458</v>
      </c>
      <c r="P79" s="31">
        <f t="shared" si="28"/>
        <v>-4.1582898740505859E-14</v>
      </c>
      <c r="Q79" s="40"/>
      <c r="R79" s="81">
        <f t="shared" si="29"/>
        <v>0.39161108605104566</v>
      </c>
      <c r="S79" s="81">
        <f t="shared" si="4"/>
        <v>0.6</v>
      </c>
      <c r="T79" s="31">
        <f t="shared" si="5"/>
        <v>0</v>
      </c>
      <c r="U79" s="54">
        <f t="shared" si="30"/>
        <v>5224.6633271117971</v>
      </c>
      <c r="V79" s="31">
        <f t="shared" si="31"/>
        <v>8.8819276560900544</v>
      </c>
      <c r="W79" s="40"/>
      <c r="X79" s="17">
        <f t="shared" si="6"/>
        <v>12.45310421388163</v>
      </c>
      <c r="Y79" s="17">
        <f t="shared" si="32"/>
        <v>12.440657334144857</v>
      </c>
      <c r="Z79" s="31">
        <f t="shared" si="7"/>
        <v>23.022511170375903</v>
      </c>
      <c r="AA79" s="31">
        <f t="shared" si="33"/>
        <v>22.000000000000021</v>
      </c>
      <c r="AB79" s="31">
        <f t="shared" si="8"/>
        <v>0</v>
      </c>
      <c r="AC79" s="40"/>
      <c r="AD79" s="79">
        <f t="shared" si="34"/>
        <v>888888.88888888888</v>
      </c>
      <c r="AE79" s="79">
        <f t="shared" si="9"/>
        <v>480000</v>
      </c>
      <c r="AF79" s="31">
        <f t="shared" si="10"/>
        <v>0</v>
      </c>
      <c r="AG79" s="68">
        <f t="shared" si="11"/>
        <v>2.0033258426966289E-3</v>
      </c>
      <c r="AH79" s="68">
        <f t="shared" si="35"/>
        <v>2.0682335999999998E-3</v>
      </c>
      <c r="AI79" s="31">
        <f t="shared" si="36"/>
        <v>-30.898876404494512</v>
      </c>
      <c r="AJ79" s="31">
        <f t="shared" si="37"/>
        <v>0.49999999999994493</v>
      </c>
      <c r="AK79" s="31">
        <f t="shared" si="12"/>
        <v>-3.812980336615903E-14</v>
      </c>
      <c r="AL79" s="40"/>
      <c r="AM79" s="79">
        <f t="shared" si="13"/>
        <v>35</v>
      </c>
      <c r="AN79" s="79">
        <f t="shared" si="14"/>
        <v>120000</v>
      </c>
      <c r="AO79" s="17"/>
      <c r="AP79" s="68">
        <f t="shared" si="15"/>
        <v>1.1282103896103894E-2</v>
      </c>
      <c r="AQ79" s="68">
        <f t="shared" si="38"/>
        <v>1.1293385999999999E-2</v>
      </c>
      <c r="AR79" s="31">
        <f t="shared" si="39"/>
        <v>3.9960039960038607</v>
      </c>
      <c r="AS79" s="31">
        <f t="shared" si="40"/>
        <v>4.9999999999998934</v>
      </c>
      <c r="AT79" s="31">
        <f t="shared" si="41"/>
        <v>4.2624045015548035E-14</v>
      </c>
      <c r="AU79" s="40"/>
      <c r="AV79" s="82">
        <f t="shared" si="16"/>
        <v>199.72165388603329</v>
      </c>
      <c r="AW79" s="79">
        <f t="shared" si="17"/>
        <v>9000</v>
      </c>
      <c r="AX79" s="18">
        <f t="shared" si="42"/>
        <v>211.04968477493145</v>
      </c>
      <c r="AY79" s="31">
        <f t="shared" si="43"/>
        <v>10.552484238746572</v>
      </c>
      <c r="AZ79" s="31">
        <f t="shared" si="18"/>
        <v>0</v>
      </c>
      <c r="BA79" s="40"/>
      <c r="BB79" s="82">
        <f t="shared" si="19"/>
        <v>92.463728650941334</v>
      </c>
      <c r="BC79" s="79">
        <f t="shared" si="20"/>
        <v>1000</v>
      </c>
      <c r="BD79" s="31">
        <f t="shared" si="44"/>
        <v>0.35231240245350348</v>
      </c>
      <c r="BE79" s="17">
        <f t="shared" si="45"/>
        <v>4.2277488294420427E-3</v>
      </c>
      <c r="BF79" s="31">
        <f t="shared" si="21"/>
        <v>0</v>
      </c>
      <c r="BG79" s="40"/>
      <c r="BH79" s="80">
        <f t="shared" si="22"/>
        <v>17.436017402748938</v>
      </c>
      <c r="BI79" s="80">
        <f t="shared" si="23"/>
        <v>11</v>
      </c>
      <c r="BJ79" s="18">
        <f t="shared" si="46"/>
        <v>146763.28079348803</v>
      </c>
      <c r="BK79" s="18">
        <f t="shared" si="47"/>
        <v>102.73429655544165</v>
      </c>
      <c r="BL79" s="31">
        <f t="shared" si="24"/>
        <v>0</v>
      </c>
      <c r="BN79" s="31"/>
      <c r="BO79" s="31"/>
      <c r="BP79" s="31"/>
      <c r="BQ79" s="31">
        <v>-4.1582898740505859E-14</v>
      </c>
      <c r="BR79" s="31">
        <v>0</v>
      </c>
      <c r="BS79" s="31">
        <v>1.8310738902802999E-14</v>
      </c>
      <c r="BT79" s="31">
        <v>-2.8089707213532728E-14</v>
      </c>
      <c r="BU79" s="31">
        <v>4.2624045015548035E-14</v>
      </c>
      <c r="BV79" s="31">
        <v>0</v>
      </c>
      <c r="BW79" s="31">
        <v>0</v>
      </c>
      <c r="BX79" s="31">
        <v>0</v>
      </c>
      <c r="BY79" s="36"/>
      <c r="BZ79" s="36"/>
      <c r="CA79" s="83"/>
      <c r="CB79" s="83"/>
      <c r="CC79" s="83"/>
      <c r="CD79" s="83"/>
      <c r="CE79" s="83"/>
      <c r="CF79" s="83"/>
      <c r="CG79" s="83"/>
      <c r="CI79" s="31"/>
      <c r="CJ79" s="31"/>
    </row>
    <row r="80" spans="1:88" x14ac:dyDescent="0.2">
      <c r="C80" s="54"/>
      <c r="F80" s="31"/>
      <c r="G80" s="79"/>
      <c r="H80" s="36">
        <v>200000</v>
      </c>
      <c r="I80" s="79">
        <f t="shared" si="25"/>
        <v>432.01337080748215</v>
      </c>
      <c r="J80" s="79">
        <f t="shared" si="26"/>
        <v>389353.90946502058</v>
      </c>
      <c r="K80" s="80">
        <f t="shared" si="27"/>
        <v>19.286311196762597</v>
      </c>
      <c r="L80" s="68">
        <f t="shared" si="0"/>
        <v>2.1175871723084751E-2</v>
      </c>
      <c r="M80" s="68">
        <f t="shared" si="1"/>
        <v>2.1175871723084751E-2</v>
      </c>
      <c r="N80" s="31">
        <f t="shared" si="2"/>
        <v>-1.6000000000000458</v>
      </c>
      <c r="O80" s="31">
        <f t="shared" si="3"/>
        <v>-1.6000000000000458</v>
      </c>
      <c r="P80" s="31">
        <f t="shared" si="28"/>
        <v>-4.1582898740505859E-14</v>
      </c>
      <c r="Q80" s="40"/>
      <c r="R80" s="81">
        <f t="shared" si="29"/>
        <v>0.39161108605104566</v>
      </c>
      <c r="S80" s="81">
        <f t="shared" si="4"/>
        <v>0.6</v>
      </c>
      <c r="T80" s="31">
        <f t="shared" si="5"/>
        <v>0</v>
      </c>
      <c r="U80" s="54">
        <f t="shared" si="30"/>
        <v>5224.6633271117971</v>
      </c>
      <c r="V80" s="31">
        <f t="shared" si="31"/>
        <v>8.8819276560900544</v>
      </c>
      <c r="W80" s="40"/>
      <c r="X80" s="17">
        <f t="shared" si="6"/>
        <v>12.45310421388163</v>
      </c>
      <c r="Y80" s="17">
        <f t="shared" si="32"/>
        <v>12.440657334144857</v>
      </c>
      <c r="Z80" s="31">
        <f t="shared" si="7"/>
        <v>23.022511170375903</v>
      </c>
      <c r="AA80" s="31">
        <f t="shared" si="33"/>
        <v>22.000000000000021</v>
      </c>
      <c r="AB80" s="31">
        <f t="shared" si="8"/>
        <v>0</v>
      </c>
      <c r="AC80" s="40"/>
      <c r="AD80" s="79">
        <f t="shared" si="34"/>
        <v>888888.88888888888</v>
      </c>
      <c r="AE80" s="79">
        <f t="shared" si="9"/>
        <v>480000</v>
      </c>
      <c r="AF80" s="31">
        <f t="shared" si="10"/>
        <v>0</v>
      </c>
      <c r="AG80" s="68">
        <f t="shared" si="11"/>
        <v>2.0033258426966289E-3</v>
      </c>
      <c r="AH80" s="68">
        <f t="shared" si="35"/>
        <v>2.0682335999999998E-3</v>
      </c>
      <c r="AI80" s="31">
        <f t="shared" si="36"/>
        <v>-30.898876404494512</v>
      </c>
      <c r="AJ80" s="31">
        <f t="shared" si="37"/>
        <v>0.49999999999994493</v>
      </c>
      <c r="AK80" s="31">
        <f t="shared" si="12"/>
        <v>-3.812980336615903E-14</v>
      </c>
      <c r="AL80" s="40"/>
      <c r="AM80" s="79">
        <f t="shared" si="13"/>
        <v>35</v>
      </c>
      <c r="AN80" s="79">
        <f t="shared" si="14"/>
        <v>120000</v>
      </c>
      <c r="AO80" s="17"/>
      <c r="AP80" s="68">
        <f t="shared" si="15"/>
        <v>1.1282103896103894E-2</v>
      </c>
      <c r="AQ80" s="68">
        <f t="shared" si="38"/>
        <v>1.1293385999999999E-2</v>
      </c>
      <c r="AR80" s="31">
        <f t="shared" si="39"/>
        <v>3.9960039960038607</v>
      </c>
      <c r="AS80" s="31">
        <f t="shared" si="40"/>
        <v>4.9999999999998934</v>
      </c>
      <c r="AT80" s="31">
        <f t="shared" si="41"/>
        <v>4.2624045015548035E-14</v>
      </c>
      <c r="AU80" s="40"/>
      <c r="AV80" s="82">
        <f t="shared" si="16"/>
        <v>199.72165388603329</v>
      </c>
      <c r="AW80" s="79">
        <f t="shared" si="17"/>
        <v>9000</v>
      </c>
      <c r="AX80" s="18">
        <f t="shared" si="42"/>
        <v>211.04968477493145</v>
      </c>
      <c r="AY80" s="31">
        <f t="shared" si="43"/>
        <v>10.552484238746572</v>
      </c>
      <c r="AZ80" s="31">
        <f t="shared" si="18"/>
        <v>0</v>
      </c>
      <c r="BA80" s="40"/>
      <c r="BB80" s="82">
        <f t="shared" si="19"/>
        <v>92.463728650941334</v>
      </c>
      <c r="BC80" s="79">
        <f t="shared" si="20"/>
        <v>1000</v>
      </c>
      <c r="BD80" s="31">
        <f t="shared" si="44"/>
        <v>0.35231240245350348</v>
      </c>
      <c r="BE80" s="17">
        <f t="shared" si="45"/>
        <v>4.2277488294420427E-3</v>
      </c>
      <c r="BF80" s="31">
        <f t="shared" si="21"/>
        <v>0</v>
      </c>
      <c r="BG80" s="40"/>
      <c r="BH80" s="80">
        <f t="shared" si="22"/>
        <v>17.436017402748938</v>
      </c>
      <c r="BI80" s="80">
        <f t="shared" si="23"/>
        <v>11</v>
      </c>
      <c r="BJ80" s="18">
        <f t="shared" si="46"/>
        <v>146763.28079348803</v>
      </c>
      <c r="BK80" s="18">
        <f t="shared" si="47"/>
        <v>102.73429655544165</v>
      </c>
      <c r="BL80" s="31">
        <f t="shared" si="24"/>
        <v>0</v>
      </c>
      <c r="BN80" s="31"/>
      <c r="BO80" s="31"/>
      <c r="BP80" s="31"/>
      <c r="BQ80" s="31">
        <v>-4.1582898740505859E-14</v>
      </c>
      <c r="BR80" s="31">
        <v>0</v>
      </c>
      <c r="BS80" s="31">
        <v>1.8310738902802999E-14</v>
      </c>
      <c r="BT80" s="31">
        <v>-2.8089707213532728E-14</v>
      </c>
      <c r="BU80" s="31">
        <v>4.2624045015548035E-14</v>
      </c>
      <c r="BV80" s="31">
        <v>0</v>
      </c>
      <c r="BW80" s="31">
        <v>0</v>
      </c>
      <c r="BX80" s="31">
        <v>0</v>
      </c>
      <c r="BY80" s="36"/>
      <c r="BZ80" s="36"/>
      <c r="CA80" s="83"/>
      <c r="CB80" s="83"/>
      <c r="CC80" s="83"/>
      <c r="CD80" s="83"/>
      <c r="CE80" s="83"/>
      <c r="CF80" s="83"/>
      <c r="CG80" s="83"/>
      <c r="CI80" s="31"/>
      <c r="CJ80" s="31"/>
    </row>
    <row r="81" spans="3:88" x14ac:dyDescent="0.2">
      <c r="F81" s="31"/>
      <c r="G81" s="79"/>
      <c r="H81" s="36">
        <v>300000</v>
      </c>
      <c r="I81" s="79">
        <f t="shared" si="25"/>
        <v>432.01337080748215</v>
      </c>
      <c r="J81" s="79">
        <f t="shared" si="26"/>
        <v>389353.90946502058</v>
      </c>
      <c r="K81" s="80">
        <f t="shared" si="27"/>
        <v>19.286311196762597</v>
      </c>
      <c r="L81" s="68">
        <f t="shared" si="0"/>
        <v>2.1175871723084751E-2</v>
      </c>
      <c r="M81" s="68">
        <f t="shared" si="1"/>
        <v>2.1175871723084751E-2</v>
      </c>
      <c r="N81" s="31">
        <f t="shared" si="2"/>
        <v>-1.6000000000000458</v>
      </c>
      <c r="O81" s="31">
        <f t="shared" si="3"/>
        <v>-1.6000000000000458</v>
      </c>
      <c r="P81" s="31">
        <f t="shared" si="28"/>
        <v>-4.1582898740505859E-14</v>
      </c>
      <c r="Q81" s="40"/>
      <c r="R81" s="81">
        <f t="shared" si="29"/>
        <v>0.39161108605104566</v>
      </c>
      <c r="S81" s="81">
        <f t="shared" si="4"/>
        <v>0.6</v>
      </c>
      <c r="T81" s="31">
        <f t="shared" si="5"/>
        <v>0</v>
      </c>
      <c r="U81" s="54">
        <f t="shared" si="30"/>
        <v>5224.6633271117971</v>
      </c>
      <c r="V81" s="31">
        <f t="shared" si="31"/>
        <v>8.8819276560900544</v>
      </c>
      <c r="W81" s="40"/>
      <c r="X81" s="17">
        <f t="shared" si="6"/>
        <v>12.45310421388163</v>
      </c>
      <c r="Y81" s="17">
        <f t="shared" si="32"/>
        <v>12.440657334144857</v>
      </c>
      <c r="Z81" s="31">
        <f t="shared" si="7"/>
        <v>23.022511170375903</v>
      </c>
      <c r="AA81" s="31">
        <f t="shared" si="33"/>
        <v>22.000000000000021</v>
      </c>
      <c r="AB81" s="31">
        <f t="shared" si="8"/>
        <v>0</v>
      </c>
      <c r="AC81" s="40"/>
      <c r="AD81" s="79">
        <f t="shared" si="34"/>
        <v>888888.88888888888</v>
      </c>
      <c r="AE81" s="79">
        <f t="shared" si="9"/>
        <v>480000</v>
      </c>
      <c r="AF81" s="31">
        <f t="shared" si="10"/>
        <v>0</v>
      </c>
      <c r="AG81" s="68">
        <f t="shared" si="11"/>
        <v>2.0033258426966289E-3</v>
      </c>
      <c r="AH81" s="68">
        <f t="shared" si="35"/>
        <v>2.0682335999999998E-3</v>
      </c>
      <c r="AI81" s="31">
        <f t="shared" si="36"/>
        <v>-30.898876404494512</v>
      </c>
      <c r="AJ81" s="31">
        <f t="shared" si="37"/>
        <v>0.49999999999994493</v>
      </c>
      <c r="AK81" s="31">
        <f t="shared" si="12"/>
        <v>-3.812980336615903E-14</v>
      </c>
      <c r="AL81" s="40"/>
      <c r="AM81" s="79">
        <f t="shared" si="13"/>
        <v>35</v>
      </c>
      <c r="AN81" s="79">
        <f t="shared" si="14"/>
        <v>120000</v>
      </c>
      <c r="AO81" s="17"/>
      <c r="AP81" s="68">
        <f t="shared" si="15"/>
        <v>1.1282103896103894E-2</v>
      </c>
      <c r="AQ81" s="68">
        <f t="shared" si="38"/>
        <v>1.1293385999999999E-2</v>
      </c>
      <c r="AR81" s="31">
        <f t="shared" si="39"/>
        <v>3.9960039960038607</v>
      </c>
      <c r="AS81" s="31">
        <f t="shared" si="40"/>
        <v>4.9999999999998934</v>
      </c>
      <c r="AT81" s="31">
        <f t="shared" si="41"/>
        <v>4.2624045015548035E-14</v>
      </c>
      <c r="AU81" s="40"/>
      <c r="AV81" s="82">
        <f t="shared" si="16"/>
        <v>199.72165388603329</v>
      </c>
      <c r="AW81" s="79">
        <f t="shared" si="17"/>
        <v>9000</v>
      </c>
      <c r="AX81" s="18">
        <f t="shared" si="42"/>
        <v>211.04968477493145</v>
      </c>
      <c r="AY81" s="31">
        <f t="shared" si="43"/>
        <v>10.552484238746572</v>
      </c>
      <c r="AZ81" s="31">
        <f t="shared" si="18"/>
        <v>0</v>
      </c>
      <c r="BA81" s="40"/>
      <c r="BB81" s="82">
        <f t="shared" si="19"/>
        <v>92.463728650941334</v>
      </c>
      <c r="BC81" s="79">
        <f t="shared" si="20"/>
        <v>1000</v>
      </c>
      <c r="BD81" s="31">
        <f t="shared" si="44"/>
        <v>0.35231240245350348</v>
      </c>
      <c r="BE81" s="17">
        <f t="shared" si="45"/>
        <v>4.2277488294420427E-3</v>
      </c>
      <c r="BF81" s="31">
        <f t="shared" si="21"/>
        <v>0</v>
      </c>
      <c r="BG81" s="40"/>
      <c r="BH81" s="80">
        <f t="shared" si="22"/>
        <v>17.436017402748938</v>
      </c>
      <c r="BI81" s="80">
        <f t="shared" si="23"/>
        <v>11</v>
      </c>
      <c r="BJ81" s="18">
        <f t="shared" si="46"/>
        <v>146763.28079348803</v>
      </c>
      <c r="BK81" s="18">
        <f t="shared" si="47"/>
        <v>102.73429655544165</v>
      </c>
      <c r="BL81" s="31">
        <f t="shared" si="24"/>
        <v>0</v>
      </c>
      <c r="BN81" s="31"/>
      <c r="BO81" s="31"/>
      <c r="BP81" s="31"/>
      <c r="BQ81" s="31">
        <v>-4.1582898740505859E-14</v>
      </c>
      <c r="BR81" s="31">
        <v>0</v>
      </c>
      <c r="BS81" s="31">
        <v>1.8310738902802999E-14</v>
      </c>
      <c r="BT81" s="31">
        <v>-2.8089707213532728E-14</v>
      </c>
      <c r="BU81" s="31">
        <v>4.2624045015548035E-14</v>
      </c>
      <c r="BV81" s="31">
        <v>0</v>
      </c>
      <c r="BW81" s="31">
        <v>0</v>
      </c>
      <c r="BX81" s="31">
        <v>0</v>
      </c>
      <c r="BY81" s="36"/>
      <c r="BZ81" s="36"/>
      <c r="CA81" s="83"/>
      <c r="CB81" s="83"/>
      <c r="CC81" s="83"/>
      <c r="CD81" s="83"/>
      <c r="CE81" s="83"/>
      <c r="CF81" s="83"/>
      <c r="CG81" s="83"/>
      <c r="CI81" s="31"/>
      <c r="CJ81" s="31"/>
    </row>
    <row r="82" spans="3:88" x14ac:dyDescent="0.2">
      <c r="C82" s="54"/>
      <c r="F82" s="31"/>
      <c r="G82" s="79"/>
      <c r="H82" s="36">
        <v>400000</v>
      </c>
      <c r="I82" s="79">
        <f t="shared" si="25"/>
        <v>432.01337080748215</v>
      </c>
      <c r="J82" s="79">
        <f t="shared" si="26"/>
        <v>389353.90946502058</v>
      </c>
      <c r="K82" s="80">
        <f t="shared" si="27"/>
        <v>19.286311196762597</v>
      </c>
      <c r="L82" s="68">
        <f t="shared" si="0"/>
        <v>2.1175871723084751E-2</v>
      </c>
      <c r="M82" s="68">
        <f t="shared" si="1"/>
        <v>2.1175871723084751E-2</v>
      </c>
      <c r="N82" s="31">
        <f t="shared" si="2"/>
        <v>-1.6000000000000458</v>
      </c>
      <c r="O82" s="31">
        <f t="shared" si="3"/>
        <v>-1.6000000000000458</v>
      </c>
      <c r="P82" s="31">
        <f t="shared" si="28"/>
        <v>-4.1582898740505859E-14</v>
      </c>
      <c r="Q82" s="40"/>
      <c r="R82" s="81">
        <f t="shared" si="29"/>
        <v>0.39161108605104566</v>
      </c>
      <c r="S82" s="81">
        <f t="shared" si="4"/>
        <v>0.6</v>
      </c>
      <c r="T82" s="31">
        <f t="shared" si="5"/>
        <v>0</v>
      </c>
      <c r="U82" s="54">
        <f t="shared" si="30"/>
        <v>5224.6633271117971</v>
      </c>
      <c r="V82" s="31">
        <f t="shared" si="31"/>
        <v>8.8819276560900544</v>
      </c>
      <c r="W82" s="40"/>
      <c r="X82" s="17">
        <f t="shared" si="6"/>
        <v>12.45310421388163</v>
      </c>
      <c r="Y82" s="17">
        <f t="shared" si="32"/>
        <v>12.440657334144857</v>
      </c>
      <c r="Z82" s="31">
        <f t="shared" si="7"/>
        <v>23.022511170375903</v>
      </c>
      <c r="AA82" s="31">
        <f t="shared" si="33"/>
        <v>22.000000000000021</v>
      </c>
      <c r="AB82" s="31">
        <f t="shared" si="8"/>
        <v>0</v>
      </c>
      <c r="AC82" s="40"/>
      <c r="AD82" s="79">
        <f t="shared" si="34"/>
        <v>888888.88888888888</v>
      </c>
      <c r="AE82" s="79">
        <f t="shared" si="9"/>
        <v>480000</v>
      </c>
      <c r="AF82" s="31">
        <f t="shared" si="10"/>
        <v>0</v>
      </c>
      <c r="AG82" s="68">
        <f t="shared" si="11"/>
        <v>2.0033258426966289E-3</v>
      </c>
      <c r="AH82" s="68">
        <f t="shared" si="35"/>
        <v>2.0682335999999998E-3</v>
      </c>
      <c r="AI82" s="31">
        <f t="shared" si="36"/>
        <v>-30.898876404494512</v>
      </c>
      <c r="AJ82" s="31">
        <f t="shared" si="37"/>
        <v>0.49999999999994493</v>
      </c>
      <c r="AK82" s="31">
        <f t="shared" si="12"/>
        <v>-3.812980336615903E-14</v>
      </c>
      <c r="AL82" s="40"/>
      <c r="AM82" s="79">
        <f t="shared" si="13"/>
        <v>35</v>
      </c>
      <c r="AN82" s="79">
        <f t="shared" si="14"/>
        <v>120000</v>
      </c>
      <c r="AO82" s="17"/>
      <c r="AP82" s="68">
        <f t="shared" si="15"/>
        <v>1.1282103896103894E-2</v>
      </c>
      <c r="AQ82" s="68">
        <f t="shared" si="38"/>
        <v>1.1293385999999999E-2</v>
      </c>
      <c r="AR82" s="31">
        <f t="shared" si="39"/>
        <v>3.9960039960038607</v>
      </c>
      <c r="AS82" s="31">
        <f t="shared" si="40"/>
        <v>4.9999999999998934</v>
      </c>
      <c r="AT82" s="31">
        <f t="shared" si="41"/>
        <v>4.2624045015548035E-14</v>
      </c>
      <c r="AU82" s="40"/>
      <c r="AV82" s="82">
        <f t="shared" si="16"/>
        <v>199.72165388603329</v>
      </c>
      <c r="AW82" s="79">
        <f t="shared" si="17"/>
        <v>9000</v>
      </c>
      <c r="AX82" s="18">
        <f t="shared" si="42"/>
        <v>211.04968477493145</v>
      </c>
      <c r="AY82" s="31">
        <f t="shared" si="43"/>
        <v>10.552484238746572</v>
      </c>
      <c r="AZ82" s="31">
        <f t="shared" si="18"/>
        <v>0</v>
      </c>
      <c r="BA82" s="40"/>
      <c r="BB82" s="82">
        <f t="shared" si="19"/>
        <v>92.463728650941334</v>
      </c>
      <c r="BC82" s="79">
        <f t="shared" si="20"/>
        <v>1000</v>
      </c>
      <c r="BD82" s="31">
        <f t="shared" si="44"/>
        <v>0.35231240245350348</v>
      </c>
      <c r="BE82" s="17">
        <f t="shared" si="45"/>
        <v>4.2277488294420427E-3</v>
      </c>
      <c r="BF82" s="31">
        <f t="shared" si="21"/>
        <v>0</v>
      </c>
      <c r="BG82" s="40"/>
      <c r="BH82" s="80">
        <f t="shared" si="22"/>
        <v>17.436017402748938</v>
      </c>
      <c r="BI82" s="80">
        <f t="shared" si="23"/>
        <v>11</v>
      </c>
      <c r="BJ82" s="18">
        <f t="shared" si="46"/>
        <v>146763.28079348803</v>
      </c>
      <c r="BK82" s="18">
        <f t="shared" si="47"/>
        <v>102.73429655544165</v>
      </c>
      <c r="BL82" s="31">
        <f t="shared" si="24"/>
        <v>0</v>
      </c>
      <c r="BN82" s="31"/>
      <c r="BO82" s="31"/>
      <c r="BP82" s="31"/>
      <c r="BQ82" s="31">
        <v>-4.1582898740505859E-14</v>
      </c>
      <c r="BR82" s="31">
        <v>0</v>
      </c>
      <c r="BS82" s="31">
        <v>1.8310738902802999E-14</v>
      </c>
      <c r="BT82" s="31">
        <v>-2.8089707213532728E-14</v>
      </c>
      <c r="BU82" s="31">
        <v>4.2624045015548035E-14</v>
      </c>
      <c r="BV82" s="31">
        <v>0</v>
      </c>
      <c r="BW82" s="31">
        <v>0</v>
      </c>
      <c r="BX82" s="31">
        <v>0</v>
      </c>
      <c r="BY82" s="36"/>
      <c r="BZ82" s="36"/>
      <c r="CA82" s="83"/>
      <c r="CB82" s="83"/>
      <c r="CC82" s="83"/>
      <c r="CD82" s="83"/>
      <c r="CE82" s="83"/>
      <c r="CF82" s="83"/>
      <c r="CG82" s="83"/>
      <c r="CI82" s="31"/>
      <c r="CJ82" s="31"/>
    </row>
    <row r="83" spans="3:88" x14ac:dyDescent="0.2">
      <c r="C83" s="54"/>
      <c r="F83" s="31"/>
      <c r="G83" s="79"/>
      <c r="H83" s="36">
        <v>500000</v>
      </c>
      <c r="I83" s="79">
        <f t="shared" si="25"/>
        <v>432.01337080748215</v>
      </c>
      <c r="J83" s="79">
        <f t="shared" si="26"/>
        <v>389353.90946502058</v>
      </c>
      <c r="K83" s="80">
        <f t="shared" si="27"/>
        <v>19.286311196762597</v>
      </c>
      <c r="L83" s="68">
        <f t="shared" si="0"/>
        <v>2.1175871723084751E-2</v>
      </c>
      <c r="M83" s="68">
        <f t="shared" si="1"/>
        <v>2.1175871723084751E-2</v>
      </c>
      <c r="N83" s="31">
        <f t="shared" si="2"/>
        <v>-1.6000000000000458</v>
      </c>
      <c r="O83" s="31">
        <f t="shared" si="3"/>
        <v>-1.6000000000000458</v>
      </c>
      <c r="P83" s="31">
        <f t="shared" si="28"/>
        <v>-4.1582898740505859E-14</v>
      </c>
      <c r="Q83" s="40"/>
      <c r="R83" s="81">
        <f t="shared" si="29"/>
        <v>0.39161108605104566</v>
      </c>
      <c r="S83" s="81">
        <f t="shared" si="4"/>
        <v>0.6</v>
      </c>
      <c r="T83" s="31">
        <f t="shared" si="5"/>
        <v>0</v>
      </c>
      <c r="U83" s="54">
        <f t="shared" si="30"/>
        <v>5224.6633271117971</v>
      </c>
      <c r="V83" s="31">
        <f t="shared" si="31"/>
        <v>8.8819276560900544</v>
      </c>
      <c r="W83" s="40"/>
      <c r="X83" s="17">
        <f t="shared" si="6"/>
        <v>12.45310421388163</v>
      </c>
      <c r="Y83" s="17">
        <f t="shared" si="32"/>
        <v>12.440657334144857</v>
      </c>
      <c r="Z83" s="31">
        <f t="shared" si="7"/>
        <v>23.022511170375903</v>
      </c>
      <c r="AA83" s="31">
        <f t="shared" si="33"/>
        <v>22.000000000000021</v>
      </c>
      <c r="AB83" s="31">
        <f t="shared" si="8"/>
        <v>0</v>
      </c>
      <c r="AC83" s="40"/>
      <c r="AD83" s="79">
        <f t="shared" si="34"/>
        <v>888888.88888888888</v>
      </c>
      <c r="AE83" s="79">
        <f t="shared" si="9"/>
        <v>480000</v>
      </c>
      <c r="AF83" s="31">
        <f t="shared" si="10"/>
        <v>0</v>
      </c>
      <c r="AG83" s="68">
        <f t="shared" si="11"/>
        <v>2.0033258426966289E-3</v>
      </c>
      <c r="AH83" s="68">
        <f t="shared" si="35"/>
        <v>2.0682335999999998E-3</v>
      </c>
      <c r="AI83" s="31">
        <f t="shared" si="36"/>
        <v>-30.898876404494512</v>
      </c>
      <c r="AJ83" s="31">
        <f t="shared" si="37"/>
        <v>0.49999999999994493</v>
      </c>
      <c r="AK83" s="31">
        <f t="shared" si="12"/>
        <v>-3.812980336615903E-14</v>
      </c>
      <c r="AL83" s="40"/>
      <c r="AM83" s="79">
        <f t="shared" si="13"/>
        <v>35</v>
      </c>
      <c r="AN83" s="79">
        <f t="shared" si="14"/>
        <v>120000</v>
      </c>
      <c r="AO83" s="17"/>
      <c r="AP83" s="68">
        <f t="shared" si="15"/>
        <v>1.1282103896103894E-2</v>
      </c>
      <c r="AQ83" s="68">
        <f t="shared" si="38"/>
        <v>1.1293385999999999E-2</v>
      </c>
      <c r="AR83" s="31">
        <f t="shared" si="39"/>
        <v>3.9960039960038607</v>
      </c>
      <c r="AS83" s="31">
        <f t="shared" si="40"/>
        <v>4.9999999999998934</v>
      </c>
      <c r="AT83" s="31">
        <f t="shared" si="41"/>
        <v>4.2624045015548035E-14</v>
      </c>
      <c r="AU83" s="40"/>
      <c r="AV83" s="82">
        <f t="shared" si="16"/>
        <v>199.72165388603329</v>
      </c>
      <c r="AW83" s="79">
        <f t="shared" si="17"/>
        <v>9000</v>
      </c>
      <c r="AX83" s="18">
        <f t="shared" si="42"/>
        <v>211.04968477493145</v>
      </c>
      <c r="AY83" s="31">
        <f t="shared" si="43"/>
        <v>10.552484238746572</v>
      </c>
      <c r="AZ83" s="31">
        <f t="shared" si="18"/>
        <v>0</v>
      </c>
      <c r="BA83" s="40"/>
      <c r="BB83" s="82">
        <f t="shared" si="19"/>
        <v>92.463728650941334</v>
      </c>
      <c r="BC83" s="79">
        <f t="shared" si="20"/>
        <v>1000</v>
      </c>
      <c r="BD83" s="31">
        <f t="shared" si="44"/>
        <v>0.35231240245350348</v>
      </c>
      <c r="BE83" s="17">
        <f t="shared" si="45"/>
        <v>4.2277488294420427E-3</v>
      </c>
      <c r="BF83" s="31">
        <f t="shared" si="21"/>
        <v>0</v>
      </c>
      <c r="BG83" s="40"/>
      <c r="BH83" s="80">
        <f t="shared" si="22"/>
        <v>17.436017402748938</v>
      </c>
      <c r="BI83" s="80">
        <f t="shared" si="23"/>
        <v>11</v>
      </c>
      <c r="BJ83" s="18">
        <f t="shared" si="46"/>
        <v>146763.28079348803</v>
      </c>
      <c r="BK83" s="18">
        <f t="shared" si="47"/>
        <v>102.73429655544165</v>
      </c>
      <c r="BL83" s="31">
        <f t="shared" si="24"/>
        <v>0</v>
      </c>
      <c r="BN83" s="31"/>
      <c r="BO83" s="31"/>
      <c r="BP83" s="31"/>
      <c r="BQ83" s="31">
        <v>-4.1582898740505859E-14</v>
      </c>
      <c r="BR83" s="31">
        <v>0</v>
      </c>
      <c r="BS83" s="31">
        <v>1.8310738902802999E-14</v>
      </c>
      <c r="BT83" s="31">
        <v>-2.8089707213532728E-14</v>
      </c>
      <c r="BU83" s="31">
        <v>4.2624045015548035E-14</v>
      </c>
      <c r="BV83" s="31">
        <v>0</v>
      </c>
      <c r="BW83" s="31">
        <v>0</v>
      </c>
      <c r="BX83" s="31">
        <v>0</v>
      </c>
      <c r="BY83" s="36"/>
      <c r="BZ83" s="36"/>
      <c r="CA83" s="83"/>
      <c r="CB83" s="83"/>
      <c r="CC83" s="83"/>
      <c r="CD83" s="83"/>
      <c r="CE83" s="83"/>
      <c r="CF83" s="83"/>
      <c r="CG83" s="83"/>
      <c r="CI83" s="31"/>
      <c r="CJ83" s="31"/>
    </row>
    <row r="84" spans="3:88" x14ac:dyDescent="0.2">
      <c r="C84" s="54"/>
      <c r="D84" s="60"/>
      <c r="E84" s="60"/>
      <c r="F84" s="31"/>
      <c r="G84" s="79"/>
      <c r="H84" s="36">
        <v>600000</v>
      </c>
      <c r="I84" s="79">
        <f t="shared" si="25"/>
        <v>432.01337080748215</v>
      </c>
      <c r="J84" s="79">
        <f t="shared" si="26"/>
        <v>389353.90946502058</v>
      </c>
      <c r="K84" s="80">
        <f t="shared" si="27"/>
        <v>19.286311196762597</v>
      </c>
      <c r="L84" s="68">
        <f t="shared" si="0"/>
        <v>2.1175871723084751E-2</v>
      </c>
      <c r="M84" s="68">
        <f t="shared" si="1"/>
        <v>2.1175871723084751E-2</v>
      </c>
      <c r="N84" s="31">
        <f t="shared" si="2"/>
        <v>-1.6000000000000458</v>
      </c>
      <c r="O84" s="31">
        <f t="shared" si="3"/>
        <v>-1.6000000000000458</v>
      </c>
      <c r="P84" s="31">
        <f t="shared" si="28"/>
        <v>-4.1582898740505859E-14</v>
      </c>
      <c r="Q84" s="40"/>
      <c r="R84" s="81">
        <f t="shared" si="29"/>
        <v>0.39161108605104566</v>
      </c>
      <c r="S84" s="81">
        <f t="shared" si="4"/>
        <v>0.6</v>
      </c>
      <c r="T84" s="31">
        <f t="shared" si="5"/>
        <v>0</v>
      </c>
      <c r="U84" s="54">
        <f t="shared" si="30"/>
        <v>5224.6633271117971</v>
      </c>
      <c r="V84" s="31">
        <f t="shared" si="31"/>
        <v>8.8819276560900544</v>
      </c>
      <c r="W84" s="40"/>
      <c r="X84" s="17">
        <f t="shared" si="6"/>
        <v>12.45310421388163</v>
      </c>
      <c r="Y84" s="17">
        <f t="shared" si="32"/>
        <v>12.440657334144857</v>
      </c>
      <c r="Z84" s="31">
        <f t="shared" si="7"/>
        <v>23.022511170375903</v>
      </c>
      <c r="AA84" s="31">
        <f t="shared" si="33"/>
        <v>22.000000000000021</v>
      </c>
      <c r="AB84" s="31">
        <f t="shared" si="8"/>
        <v>0</v>
      </c>
      <c r="AC84" s="40"/>
      <c r="AD84" s="79">
        <f t="shared" si="34"/>
        <v>888888.88888888888</v>
      </c>
      <c r="AE84" s="79">
        <f t="shared" si="9"/>
        <v>480000</v>
      </c>
      <c r="AF84" s="31">
        <f t="shared" si="10"/>
        <v>0</v>
      </c>
      <c r="AG84" s="68">
        <f t="shared" si="11"/>
        <v>2.0033258426966289E-3</v>
      </c>
      <c r="AH84" s="68">
        <f t="shared" si="35"/>
        <v>2.0682335999999998E-3</v>
      </c>
      <c r="AI84" s="31">
        <f t="shared" si="36"/>
        <v>-30.898876404494512</v>
      </c>
      <c r="AJ84" s="31">
        <f>(AH84/AG$15-1)*1000</f>
        <v>0.49999999999994493</v>
      </c>
      <c r="AK84" s="31">
        <f t="shared" si="12"/>
        <v>-3.812980336615903E-14</v>
      </c>
      <c r="AL84" s="40"/>
      <c r="AM84" s="79">
        <f t="shared" si="13"/>
        <v>35</v>
      </c>
      <c r="AN84" s="79">
        <f t="shared" si="14"/>
        <v>120000</v>
      </c>
      <c r="AO84" s="17"/>
      <c r="AP84" s="68">
        <f t="shared" si="15"/>
        <v>1.1282103896103894E-2</v>
      </c>
      <c r="AQ84" s="68">
        <f t="shared" si="38"/>
        <v>1.1293385999999999E-2</v>
      </c>
      <c r="AR84" s="31">
        <f t="shared" si="39"/>
        <v>3.9960039960038607</v>
      </c>
      <c r="AS84" s="31">
        <f t="shared" si="40"/>
        <v>4.9999999999998934</v>
      </c>
      <c r="AT84" s="31">
        <f t="shared" si="41"/>
        <v>4.2624045015548035E-14</v>
      </c>
      <c r="AU84" s="40"/>
      <c r="AV84" s="82">
        <f t="shared" si="16"/>
        <v>199.72165388603329</v>
      </c>
      <c r="AW84" s="79">
        <f t="shared" si="17"/>
        <v>9000</v>
      </c>
      <c r="AX84" s="18">
        <f t="shared" si="42"/>
        <v>211.04968477493145</v>
      </c>
      <c r="AY84" s="31">
        <f t="shared" si="43"/>
        <v>10.552484238746572</v>
      </c>
      <c r="AZ84" s="31">
        <f t="shared" si="18"/>
        <v>0</v>
      </c>
      <c r="BA84" s="40"/>
      <c r="BB84" s="82">
        <f t="shared" si="19"/>
        <v>92.463728650941334</v>
      </c>
      <c r="BC84" s="79">
        <f t="shared" si="20"/>
        <v>1000</v>
      </c>
      <c r="BD84" s="31">
        <f t="shared" si="44"/>
        <v>0.35231240245350348</v>
      </c>
      <c r="BE84" s="17">
        <f t="shared" si="45"/>
        <v>4.2277488294420427E-3</v>
      </c>
      <c r="BF84" s="31">
        <f t="shared" si="21"/>
        <v>0</v>
      </c>
      <c r="BG84" s="40"/>
      <c r="BH84" s="80">
        <f t="shared" si="22"/>
        <v>17.436017402748938</v>
      </c>
      <c r="BI84" s="80">
        <f t="shared" si="23"/>
        <v>11</v>
      </c>
      <c r="BJ84" s="18">
        <f t="shared" si="46"/>
        <v>146763.28079348803</v>
      </c>
      <c r="BK84" s="18">
        <f t="shared" si="47"/>
        <v>102.73429655544165</v>
      </c>
      <c r="BL84" s="31">
        <f t="shared" si="24"/>
        <v>0</v>
      </c>
      <c r="BN84" s="31"/>
      <c r="BO84" s="31"/>
      <c r="BP84" s="31"/>
      <c r="BQ84" s="31">
        <v>-4.1582898740505859E-14</v>
      </c>
      <c r="BR84" s="31">
        <v>0</v>
      </c>
      <c r="BS84" s="31">
        <v>1.8310738902802999E-14</v>
      </c>
      <c r="BT84" s="31">
        <v>-2.8089707213532728E-14</v>
      </c>
      <c r="BU84" s="31">
        <v>4.2624045015548035E-14</v>
      </c>
      <c r="BV84" s="31">
        <v>0</v>
      </c>
      <c r="BW84" s="31">
        <v>0</v>
      </c>
      <c r="BX84" s="31">
        <v>0</v>
      </c>
      <c r="BY84" s="36"/>
      <c r="BZ84" s="36"/>
      <c r="CA84" s="83"/>
      <c r="CB84" s="83"/>
      <c r="CC84" s="83"/>
      <c r="CD84" s="83"/>
      <c r="CE84" s="83"/>
      <c r="CF84" s="83"/>
      <c r="CG84" s="83"/>
      <c r="CI84" s="31"/>
      <c r="CJ84" s="31"/>
    </row>
    <row r="85" spans="3:88" x14ac:dyDescent="0.2">
      <c r="C85" s="54"/>
      <c r="F85" s="31"/>
      <c r="G85" s="79"/>
      <c r="H85" s="36">
        <v>700000</v>
      </c>
      <c r="I85" s="79">
        <f t="shared" si="25"/>
        <v>432.01337080748215</v>
      </c>
      <c r="J85" s="79">
        <f t="shared" si="26"/>
        <v>389353.90946502058</v>
      </c>
      <c r="K85" s="80">
        <f t="shared" si="27"/>
        <v>19.286311196762597</v>
      </c>
      <c r="L85" s="68">
        <f t="shared" si="0"/>
        <v>2.1175871723084751E-2</v>
      </c>
      <c r="M85" s="68">
        <f t="shared" si="1"/>
        <v>2.1175871723084751E-2</v>
      </c>
      <c r="N85" s="31">
        <f t="shared" si="2"/>
        <v>-1.6000000000000458</v>
      </c>
      <c r="O85" s="31">
        <f t="shared" si="3"/>
        <v>-1.6000000000000458</v>
      </c>
      <c r="P85" s="31">
        <f t="shared" si="28"/>
        <v>-4.1582898740505859E-14</v>
      </c>
      <c r="Q85" s="40"/>
      <c r="R85" s="81">
        <f t="shared" si="29"/>
        <v>0.39161108605104566</v>
      </c>
      <c r="S85" s="81">
        <f t="shared" si="4"/>
        <v>0.6</v>
      </c>
      <c r="T85" s="31">
        <f t="shared" si="5"/>
        <v>0</v>
      </c>
      <c r="U85" s="54">
        <f t="shared" si="30"/>
        <v>5224.6633271117971</v>
      </c>
      <c r="V85" s="31">
        <f t="shared" si="31"/>
        <v>8.8819276560900544</v>
      </c>
      <c r="W85" s="40"/>
      <c r="X85" s="17">
        <f t="shared" si="6"/>
        <v>12.45310421388163</v>
      </c>
      <c r="Y85" s="17">
        <f t="shared" si="32"/>
        <v>12.440657334144857</v>
      </c>
      <c r="Z85" s="31">
        <f t="shared" si="7"/>
        <v>23.022511170375903</v>
      </c>
      <c r="AA85" s="31">
        <f t="shared" si="33"/>
        <v>22.000000000000021</v>
      </c>
      <c r="AB85" s="31">
        <f t="shared" si="8"/>
        <v>0</v>
      </c>
      <c r="AC85" s="40"/>
      <c r="AD85" s="79">
        <f t="shared" si="34"/>
        <v>888888.88888888888</v>
      </c>
      <c r="AE85" s="79">
        <f t="shared" si="9"/>
        <v>480000</v>
      </c>
      <c r="AF85" s="31">
        <f t="shared" si="10"/>
        <v>0</v>
      </c>
      <c r="AG85" s="68">
        <f t="shared" si="11"/>
        <v>2.0033258426966289E-3</v>
      </c>
      <c r="AH85" s="68">
        <f t="shared" si="35"/>
        <v>2.0682335999999998E-3</v>
      </c>
      <c r="AI85" s="31">
        <f>(AG85/AG$15-1)*1000</f>
        <v>-30.898876404494512</v>
      </c>
      <c r="AJ85" s="31">
        <f t="shared" si="37"/>
        <v>0.49999999999994493</v>
      </c>
      <c r="AK85" s="31">
        <f t="shared" si="12"/>
        <v>-3.812980336615903E-14</v>
      </c>
      <c r="AL85" s="40"/>
      <c r="AM85" s="79">
        <f t="shared" si="13"/>
        <v>35</v>
      </c>
      <c r="AN85" s="79">
        <f t="shared" si="14"/>
        <v>120000</v>
      </c>
      <c r="AO85" s="17"/>
      <c r="AP85" s="68">
        <f t="shared" si="15"/>
        <v>1.1282103896103894E-2</v>
      </c>
      <c r="AQ85" s="68">
        <f t="shared" si="38"/>
        <v>1.1293385999999999E-2</v>
      </c>
      <c r="AR85" s="31">
        <f t="shared" si="39"/>
        <v>3.9960039960038607</v>
      </c>
      <c r="AS85" s="31">
        <f t="shared" si="40"/>
        <v>4.9999999999998934</v>
      </c>
      <c r="AT85" s="31">
        <f t="shared" si="41"/>
        <v>4.2624045015548035E-14</v>
      </c>
      <c r="AU85" s="40"/>
      <c r="AV85" s="82">
        <f t="shared" si="16"/>
        <v>199.72165388603329</v>
      </c>
      <c r="AW85" s="79">
        <f t="shared" si="17"/>
        <v>9000</v>
      </c>
      <c r="AX85" s="18">
        <f t="shared" si="42"/>
        <v>211.04968477493145</v>
      </c>
      <c r="AY85" s="31">
        <f t="shared" si="43"/>
        <v>10.552484238746572</v>
      </c>
      <c r="AZ85" s="31">
        <f t="shared" si="18"/>
        <v>0</v>
      </c>
      <c r="BA85" s="40"/>
      <c r="BB85" s="82">
        <f t="shared" si="19"/>
        <v>92.463728650941334</v>
      </c>
      <c r="BC85" s="79">
        <f t="shared" si="20"/>
        <v>1000</v>
      </c>
      <c r="BD85" s="31">
        <f t="shared" si="44"/>
        <v>0.35231240245350348</v>
      </c>
      <c r="BE85" s="17">
        <f t="shared" si="45"/>
        <v>4.2277488294420427E-3</v>
      </c>
      <c r="BF85" s="31">
        <f t="shared" si="21"/>
        <v>0</v>
      </c>
      <c r="BG85" s="40"/>
      <c r="BH85" s="80">
        <f t="shared" si="22"/>
        <v>17.436017402748938</v>
      </c>
      <c r="BI85" s="80">
        <f t="shared" si="23"/>
        <v>11</v>
      </c>
      <c r="BJ85" s="18">
        <f t="shared" si="46"/>
        <v>146763.28079348803</v>
      </c>
      <c r="BK85" s="18">
        <f t="shared" si="47"/>
        <v>102.73429655544165</v>
      </c>
      <c r="BL85" s="31">
        <f t="shared" si="24"/>
        <v>0</v>
      </c>
      <c r="BN85" s="31"/>
      <c r="BO85" s="31"/>
      <c r="BP85" s="31"/>
      <c r="BQ85" s="31">
        <v>-4.1582898740505859E-14</v>
      </c>
      <c r="BR85" s="31">
        <v>0</v>
      </c>
      <c r="BS85" s="31">
        <v>1.8310738902802999E-14</v>
      </c>
      <c r="BT85" s="31">
        <v>-2.8089707213532728E-14</v>
      </c>
      <c r="BU85" s="31">
        <v>4.2624045015548035E-14</v>
      </c>
      <c r="BV85" s="31">
        <v>0</v>
      </c>
      <c r="BW85" s="31">
        <v>0</v>
      </c>
      <c r="BX85" s="31">
        <v>0</v>
      </c>
      <c r="BY85" s="36"/>
      <c r="BZ85" s="36"/>
      <c r="CA85" s="83"/>
      <c r="CB85" s="83"/>
      <c r="CC85" s="83"/>
      <c r="CD85" s="83"/>
      <c r="CE85" s="83"/>
      <c r="CF85" s="83"/>
      <c r="CG85" s="83"/>
      <c r="CI85" s="31"/>
      <c r="CJ85" s="31"/>
    </row>
  </sheetData>
  <mergeCells count="72">
    <mergeCell ref="N22:O22"/>
    <mergeCell ref="Z22:AA22"/>
    <mergeCell ref="AD22:AE22"/>
    <mergeCell ref="AI22:AJ22"/>
    <mergeCell ref="AR22:AS22"/>
    <mergeCell ref="N20:O20"/>
    <mergeCell ref="Z20:AA20"/>
    <mergeCell ref="AD20:AE20"/>
    <mergeCell ref="AI20:AJ20"/>
    <mergeCell ref="AR20:AS20"/>
    <mergeCell ref="N21:O21"/>
    <mergeCell ref="Z21:AA21"/>
    <mergeCell ref="AD21:AE21"/>
    <mergeCell ref="AI21:AJ21"/>
    <mergeCell ref="AR21:AS21"/>
    <mergeCell ref="AR16:AS16"/>
    <mergeCell ref="N17:O17"/>
    <mergeCell ref="Z17:AA17"/>
    <mergeCell ref="AD17:AE17"/>
    <mergeCell ref="AI17:AJ17"/>
    <mergeCell ref="AR17:AS17"/>
    <mergeCell ref="L15:M15"/>
    <mergeCell ref="X15:Y15"/>
    <mergeCell ref="AG15:AH15"/>
    <mergeCell ref="AP15:AQ15"/>
    <mergeCell ref="N16:O16"/>
    <mergeCell ref="Z16:AA16"/>
    <mergeCell ref="AD16:AE16"/>
    <mergeCell ref="AI16:AJ16"/>
    <mergeCell ref="BH13:BI13"/>
    <mergeCell ref="I14:J14"/>
    <mergeCell ref="R14:S14"/>
    <mergeCell ref="AD14:AE14"/>
    <mergeCell ref="AM14:AN14"/>
    <mergeCell ref="AV14:AW14"/>
    <mergeCell ref="BB14:BC14"/>
    <mergeCell ref="BH14:BI14"/>
    <mergeCell ref="I13:J13"/>
    <mergeCell ref="R13:S13"/>
    <mergeCell ref="AD13:AE13"/>
    <mergeCell ref="AM13:AN13"/>
    <mergeCell ref="AV13:AW13"/>
    <mergeCell ref="BB13:BC13"/>
    <mergeCell ref="BH11:BI11"/>
    <mergeCell ref="I12:J12"/>
    <mergeCell ref="R12:S12"/>
    <mergeCell ref="AD12:AE12"/>
    <mergeCell ref="AM12:AN12"/>
    <mergeCell ref="AV12:AW12"/>
    <mergeCell ref="BB12:BC12"/>
    <mergeCell ref="BH12:BI12"/>
    <mergeCell ref="I11:J11"/>
    <mergeCell ref="R11:S11"/>
    <mergeCell ref="AD11:AE11"/>
    <mergeCell ref="AM11:AN11"/>
    <mergeCell ref="AV11:AW11"/>
    <mergeCell ref="BB11:BC11"/>
    <mergeCell ref="BB7:BC7"/>
    <mergeCell ref="BH7:BI7"/>
    <mergeCell ref="I8:J8"/>
    <mergeCell ref="R8:S8"/>
    <mergeCell ref="AD8:AE8"/>
    <mergeCell ref="AM8:AN8"/>
    <mergeCell ref="AV8:AW8"/>
    <mergeCell ref="BB8:BC8"/>
    <mergeCell ref="BH8:BI8"/>
    <mergeCell ref="A1:C1"/>
    <mergeCell ref="I7:J7"/>
    <mergeCell ref="R7:S7"/>
    <mergeCell ref="AD7:AE7"/>
    <mergeCell ref="AM7:AN7"/>
    <mergeCell ref="AV7:AW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 Marine Diagenesis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2019-12-12T17:16:54Z</dcterms:created>
  <dcterms:modified xsi:type="dcterms:W3CDTF">2019-12-12T17:17:10Z</dcterms:modified>
</cp:coreProperties>
</file>